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6510" windowWidth="27870" windowHeight="6540"/>
  </bookViews>
  <sheets>
    <sheet name="Application" sheetId="14" r:id="rId1"/>
    <sheet name="Sail-Areas_US-Sailing" sheetId="16" r:id="rId2"/>
    <sheet name="ISAF_Sail-Areas" sheetId="17" r:id="rId3"/>
    <sheet name="C-37CR_Main-Jib_Spec.Chk_063011" sheetId="18" r:id="rId4"/>
  </sheets>
  <definedNames>
    <definedName name="HTML_CodePage" hidden="1">1252</definedName>
    <definedName name="HTML_Control" localSheetId="0" hidden="1">{"'Div 5'!$A$1:$I$18"}</definedName>
    <definedName name="HTML_Control" localSheetId="2" hidden="1">{"'Div 5'!$A$1:$I$18"}</definedName>
    <definedName name="HTML_Control" localSheetId="1" hidden="1">{"'Div 5'!$A$1:$I$18"}</definedName>
    <definedName name="HTML_Control" hidden="1">{"'Div 5'!$A$1:$I$18"}</definedName>
    <definedName name="HTML_Control2" localSheetId="0" hidden="1">{"'Divisions'!$B$1:$X$82"}</definedName>
    <definedName name="HTML_Control2" localSheetId="2" hidden="1">{"'Divisions'!$B$1:$X$82"}</definedName>
    <definedName name="HTML_Control2" localSheetId="1" hidden="1">{"'Divisions'!$B$1:$X$82"}</definedName>
    <definedName name="HTML_Control2" hidden="1">{"'Divisions'!$B$1:$X$82"}</definedName>
    <definedName name="HTML_Description" hidden="1">"Results Overall"</definedName>
    <definedName name="HTML_Email" hidden="1">"slackwater_sf@hotmail.com"</definedName>
    <definedName name="HTML_Header" hidden="1">"Results Overall"</definedName>
    <definedName name="HTML_LastUpdate" hidden="1">"4/3/05"</definedName>
    <definedName name="HTML_LineAfter" hidden="1">FALSE</definedName>
    <definedName name="HTML_LineBefore" hidden="1">FALSE</definedName>
    <definedName name="HTML_Name" hidden="1">"Slackwater_SF"</definedName>
    <definedName name="HTML_OBDlg2" hidden="1">TRUE</definedName>
    <definedName name="HTML_OBDlg4" hidden="1">TRUE</definedName>
    <definedName name="HTML_OS" hidden="1">0</definedName>
    <definedName name="HTML_PathFile" hidden="1">"C:\My Documents\Boat\BAMA\2005_DHF\Div505.htm"</definedName>
    <definedName name="HTML_Title" hidden="1">"Entrants05"</definedName>
    <definedName name="None" localSheetId="0" hidden="1">{"'Divisions'!$B$1:$X$82"}</definedName>
    <definedName name="None" localSheetId="2" hidden="1">{"'Divisions'!$B$1:$X$82"}</definedName>
    <definedName name="None" localSheetId="1" hidden="1">{"'Divisions'!$B$1:$X$82"}</definedName>
    <definedName name="None" hidden="1">{"'Divisions'!$B$1:$X$82"}</definedName>
    <definedName name="_xlnm.Print_Area" localSheetId="3">'C-37CR_Main-Jib_Spec.Chk_063011'!$A$1:$O$55</definedName>
  </definedNames>
  <calcPr calcId="144525"/>
</workbook>
</file>

<file path=xl/calcChain.xml><?xml version="1.0" encoding="utf-8"?>
<calcChain xmlns="http://schemas.openxmlformats.org/spreadsheetml/2006/main">
  <c r="D11" i="18" l="1"/>
  <c r="E11" i="18"/>
  <c r="E15" i="18" l="1"/>
  <c r="D29" i="16"/>
  <c r="E29" i="16" s="1"/>
  <c r="E5" i="18"/>
  <c r="E9" i="18"/>
  <c r="D9" i="18"/>
  <c r="H12" i="18"/>
  <c r="D4" i="18"/>
  <c r="E12" i="18"/>
  <c r="F12" i="18"/>
  <c r="E3" i="18"/>
  <c r="E8" i="18"/>
  <c r="F8" i="18"/>
  <c r="F10" i="18"/>
  <c r="H8" i="18"/>
  <c r="E7" i="18"/>
  <c r="F7" i="18"/>
  <c r="E6" i="18"/>
  <c r="F6" i="18"/>
  <c r="D31" i="18"/>
  <c r="E31" i="18"/>
  <c r="H31" i="18"/>
  <c r="D32" i="18"/>
  <c r="E32" i="18" s="1"/>
  <c r="F32" i="18" s="1"/>
  <c r="D33" i="18"/>
  <c r="E33" i="18"/>
  <c r="F33" i="18" s="1"/>
  <c r="E34" i="18"/>
  <c r="D34" i="18"/>
  <c r="E35" i="18"/>
  <c r="D35" i="18" s="1"/>
  <c r="E36" i="18"/>
  <c r="D36" i="18"/>
  <c r="E37" i="18"/>
  <c r="D37" i="18" s="1"/>
  <c r="D38" i="18"/>
  <c r="F38" i="18"/>
  <c r="D26" i="18"/>
  <c r="D16" i="18" s="1"/>
  <c r="E19" i="18"/>
  <c r="E22" i="18"/>
  <c r="D22" i="18"/>
  <c r="D23" i="18"/>
  <c r="E20" i="18"/>
  <c r="E24" i="18"/>
  <c r="E23" i="18"/>
  <c r="H19" i="18"/>
  <c r="F20" i="18"/>
  <c r="C22" i="18"/>
  <c r="F24" i="18"/>
  <c r="F26" i="18"/>
  <c r="G39" i="16"/>
  <c r="E9" i="17"/>
  <c r="D12" i="17"/>
  <c r="D11" i="17"/>
  <c r="D10" i="17"/>
  <c r="A8" i="17" s="1"/>
  <c r="D9" i="17"/>
  <c r="A7" i="17"/>
  <c r="D8" i="17"/>
  <c r="D7" i="17"/>
  <c r="D6" i="17"/>
  <c r="A9" i="17" s="1"/>
  <c r="E37" i="16"/>
  <c r="G22" i="16"/>
  <c r="A53" i="17"/>
  <c r="A52" i="17"/>
  <c r="A51" i="17"/>
  <c r="A50" i="17"/>
  <c r="A49" i="17"/>
  <c r="A48" i="17"/>
  <c r="A54" i="17" s="1"/>
  <c r="A47" i="17"/>
  <c r="A46" i="17"/>
  <c r="D22" i="17"/>
  <c r="A17" i="17"/>
  <c r="A6" i="17"/>
  <c r="C41" i="14"/>
  <c r="C40" i="14"/>
  <c r="H33" i="14"/>
  <c r="I31" i="14"/>
  <c r="I29" i="14"/>
  <c r="C39" i="14"/>
  <c r="C38" i="14"/>
  <c r="C37" i="14"/>
  <c r="I28" i="14"/>
  <c r="I27" i="14"/>
  <c r="I26" i="14"/>
  <c r="F29" i="14"/>
  <c r="F28" i="14"/>
  <c r="F27" i="14"/>
  <c r="F26" i="14"/>
  <c r="F25" i="14"/>
  <c r="C28" i="14"/>
  <c r="C27" i="14"/>
  <c r="C26" i="14"/>
  <c r="C25" i="14"/>
  <c r="E13" i="16"/>
  <c r="B13" i="16"/>
  <c r="E12" i="16"/>
  <c r="B12" i="16"/>
  <c r="E11" i="16"/>
  <c r="E18" i="16" s="1"/>
  <c r="B18" i="16" s="1"/>
  <c r="D45" i="16"/>
  <c r="E44" i="16"/>
  <c r="B44" i="16"/>
  <c r="E43" i="16"/>
  <c r="E45" i="16" s="1"/>
  <c r="E42" i="16"/>
  <c r="B42" i="16"/>
  <c r="E41" i="16"/>
  <c r="B41" i="16"/>
  <c r="E40" i="16"/>
  <c r="D40" i="16"/>
  <c r="B37" i="16"/>
  <c r="E36" i="16"/>
  <c r="B36" i="16"/>
  <c r="E35" i="16"/>
  <c r="B35" i="16"/>
  <c r="E34" i="16"/>
  <c r="B34" i="16"/>
  <c r="B32" i="16" s="1"/>
  <c r="E33" i="16"/>
  <c r="B33" i="16"/>
  <c r="G32" i="16"/>
  <c r="E28" i="16"/>
  <c r="B28" i="16"/>
  <c r="E27" i="16"/>
  <c r="B27" i="16"/>
  <c r="E26" i="16"/>
  <c r="B26" i="16"/>
  <c r="E25" i="16"/>
  <c r="B25" i="16"/>
  <c r="E24" i="16"/>
  <c r="B24" i="16"/>
  <c r="B22" i="16" s="1"/>
  <c r="J23" i="16"/>
  <c r="E23" i="16"/>
  <c r="B23" i="16"/>
  <c r="B30" i="16"/>
  <c r="D17" i="16"/>
  <c r="B17" i="16"/>
  <c r="D16" i="16"/>
  <c r="B16" i="16"/>
  <c r="D15" i="16"/>
  <c r="B15" i="16"/>
  <c r="D14" i="16"/>
  <c r="B14" i="16"/>
  <c r="B11" i="16"/>
  <c r="B10" i="16" s="1"/>
  <c r="G10" i="16"/>
  <c r="B43" i="14"/>
  <c r="E43" i="14"/>
  <c r="H43" i="14"/>
  <c r="B29" i="16" l="1"/>
  <c r="E21" i="16"/>
  <c r="A10" i="17"/>
  <c r="B45" i="16"/>
  <c r="F44" i="16"/>
  <c r="D21" i="16"/>
  <c r="B43" i="16"/>
  <c r="B40" i="16" s="1"/>
  <c r="A14" i="17" l="1"/>
  <c r="A12" i="17"/>
</calcChain>
</file>

<file path=xl/sharedStrings.xml><?xml version="1.0" encoding="utf-8"?>
<sst xmlns="http://schemas.openxmlformats.org/spreadsheetml/2006/main" count="358" uniqueCount="272">
  <si>
    <t>Name</t>
  </si>
  <si>
    <t>Street</t>
  </si>
  <si>
    <t>Boat Name</t>
  </si>
  <si>
    <t>Boat Model</t>
  </si>
  <si>
    <t>Manufacturer</t>
  </si>
  <si>
    <t>Designer</t>
  </si>
  <si>
    <t>Marina</t>
  </si>
  <si>
    <t>Sail Number</t>
  </si>
  <si>
    <t>City, State, Zip</t>
  </si>
  <si>
    <t>Email Address:</t>
  </si>
  <si>
    <t>Yes</t>
  </si>
  <si>
    <t>c</t>
  </si>
  <si>
    <t>No</t>
  </si>
  <si>
    <t>N / A</t>
  </si>
  <si>
    <t>Do you want an ODR (One Design Rating)?</t>
  </si>
  <si>
    <t>Class Rules</t>
  </si>
  <si>
    <t>Sales Brochure</t>
  </si>
  <si>
    <t>Sailmaker</t>
  </si>
  <si>
    <t>Owner Measurement</t>
  </si>
  <si>
    <t>LPG</t>
  </si>
  <si>
    <t>P (luff)</t>
  </si>
  <si>
    <t>E (foot)</t>
  </si>
  <si>
    <t>MGH</t>
  </si>
  <si>
    <t>MGT</t>
  </si>
  <si>
    <t>MGM</t>
  </si>
  <si>
    <t>Luff Length</t>
  </si>
  <si>
    <t>yes/no</t>
  </si>
  <si>
    <t>SL</t>
  </si>
  <si>
    <t>SSMG</t>
  </si>
  <si>
    <t>SMG</t>
  </si>
  <si>
    <t>Area:</t>
  </si>
  <si>
    <t>Modifications</t>
  </si>
  <si>
    <t>Signature of Owner</t>
  </si>
  <si>
    <t>Date</t>
  </si>
  <si>
    <t>Office Use Only</t>
  </si>
  <si>
    <t>TCF</t>
  </si>
  <si>
    <t>PHRF</t>
  </si>
  <si>
    <t>Amount Paid</t>
  </si>
  <si>
    <t>x</t>
  </si>
  <si>
    <t>Year Built</t>
  </si>
  <si>
    <t>Hull</t>
  </si>
  <si>
    <t>Length Overall:</t>
  </si>
  <si>
    <t>Waterline length</t>
  </si>
  <si>
    <t>Maximum Beam</t>
  </si>
  <si>
    <t>Maximum Draft</t>
  </si>
  <si>
    <t>Daggerboard (y/n)</t>
  </si>
  <si>
    <t>Centerboard (y/n)</t>
  </si>
  <si>
    <t>Ctbd Fairing (y/n)</t>
  </si>
  <si>
    <t>Cut/paste</t>
  </si>
  <si>
    <t>Keel(s) (y/n)</t>
  </si>
  <si>
    <t>Lifting Foils (y/n)</t>
  </si>
  <si>
    <t>Describe modifications / comments/ trapeze(#) or hiking straps below</t>
  </si>
  <si>
    <t>This is a:</t>
  </si>
  <si>
    <t>AOC Aft Overhang</t>
  </si>
  <si>
    <t>FOC Fwd Overhang</t>
  </si>
  <si>
    <t>Weight Sailing</t>
  </si>
  <si>
    <t>Scr.Luff1</t>
  </si>
  <si>
    <t>Scr.Luff2 (leach)</t>
  </si>
  <si>
    <t>Scr.MG</t>
  </si>
  <si>
    <t>SMG as % SF</t>
  </si>
  <si>
    <t>Rated Weight</t>
  </si>
  <si>
    <t>Declared</t>
  </si>
  <si>
    <t>WE</t>
  </si>
  <si>
    <t>WCD Weight Crew</t>
  </si>
  <si>
    <t>1 x feather/fold</t>
  </si>
  <si>
    <t>2 x feather/fold</t>
  </si>
  <si>
    <t>Le.roach + or -</t>
  </si>
  <si>
    <t>Measurement Cert.</t>
  </si>
  <si>
    <t>Engine(s)</t>
  </si>
  <si>
    <t>Slip Number</t>
  </si>
  <si>
    <t>Evening Phone:</t>
  </si>
  <si>
    <t>Day Phone:</t>
  </si>
  <si>
    <t>Hull - Foils</t>
  </si>
  <si>
    <t>Propeller (s)</t>
  </si>
  <si>
    <t>Emergency #:</t>
  </si>
  <si>
    <r>
      <t>Unmodified</t>
    </r>
    <r>
      <rPr>
        <sz val="8"/>
        <rFont val="Arial"/>
        <family val="2"/>
      </rPr>
      <t xml:space="preserve"> Class Boat</t>
    </r>
  </si>
  <si>
    <r>
      <t>Modified</t>
    </r>
    <r>
      <rPr>
        <sz val="8"/>
        <rFont val="Arial"/>
        <family val="2"/>
      </rPr>
      <t xml:space="preserve"> Class Boat</t>
    </r>
  </si>
  <si>
    <r>
      <t>Non-Class</t>
    </r>
    <r>
      <rPr>
        <sz val="8"/>
        <rFont val="Arial"/>
        <family val="2"/>
      </rPr>
      <t xml:space="preserve"> (Custom)</t>
    </r>
  </si>
  <si>
    <r>
      <t>SF</t>
    </r>
    <r>
      <rPr>
        <sz val="8"/>
        <rFont val="Arial"/>
        <family val="2"/>
      </rPr>
      <t xml:space="preserve"> (foot.perimeter)</t>
    </r>
  </si>
  <si>
    <r>
      <t>SSF</t>
    </r>
    <r>
      <rPr>
        <sz val="8"/>
        <rFont val="Arial"/>
        <family val="2"/>
      </rPr>
      <t xml:space="preserve"> (foot.perimeter)</t>
    </r>
  </si>
  <si>
    <r>
      <t>1 x fixed</t>
    </r>
    <r>
      <rPr>
        <sz val="9"/>
        <rFont val="Arial"/>
        <family val="2"/>
      </rPr>
      <t xml:space="preserve"> (blades)</t>
    </r>
  </si>
  <si>
    <r>
      <t>2 x fixed</t>
    </r>
    <r>
      <rPr>
        <sz val="9"/>
        <rFont val="Arial"/>
        <family val="2"/>
      </rPr>
      <t xml:space="preserve"> (blades)</t>
    </r>
  </si>
  <si>
    <t>Scr.Foot</t>
  </si>
  <si>
    <t>CG Safety, dry(gas,h2o)</t>
  </si>
  <si>
    <t>I certify that my vessel conforms to the configuration indicated above and understand that a BAMA ratings certificate will be issued based on this information, valid only for the indicated configuration.</t>
  </si>
  <si>
    <t>Electronically</t>
  </si>
  <si>
    <t>MGU</t>
  </si>
  <si>
    <t>Full Batten or Soft</t>
  </si>
  <si>
    <r>
      <t>Other</t>
    </r>
    <r>
      <rPr>
        <b/>
        <sz val="10"/>
        <rFont val="Arial"/>
        <family val="2"/>
      </rPr>
      <t xml:space="preserve"> </t>
    </r>
  </si>
  <si>
    <r>
      <t>Rigging</t>
    </r>
    <r>
      <rPr>
        <sz val="8"/>
        <rFont val="Arial"/>
        <family val="2"/>
      </rPr>
      <t xml:space="preserve"> (SS, synthetic)</t>
    </r>
  </si>
  <si>
    <r>
      <t>Holding Tank</t>
    </r>
    <r>
      <rPr>
        <sz val="8"/>
        <rFont val="Arial"/>
        <family val="2"/>
      </rPr>
      <t>(s)</t>
    </r>
  </si>
  <si>
    <r>
      <t>Wt Boat</t>
    </r>
    <r>
      <rPr>
        <sz val="8"/>
        <rFont val="Arial"/>
        <family val="2"/>
      </rPr>
      <t xml:space="preserve"> sails, motor</t>
    </r>
  </si>
  <si>
    <r>
      <t>SLU</t>
    </r>
    <r>
      <rPr>
        <sz val="8"/>
        <rFont val="Arial"/>
        <family val="2"/>
      </rPr>
      <t xml:space="preserve"> (luff perimeter)</t>
    </r>
  </si>
  <si>
    <r>
      <t>SLU</t>
    </r>
    <r>
      <rPr>
        <sz val="8"/>
        <rFont val="Arial"/>
        <family val="2"/>
      </rPr>
      <t xml:space="preserve"> (leech perimeter)</t>
    </r>
  </si>
  <si>
    <r>
      <t>Masthead</t>
    </r>
    <r>
      <rPr>
        <sz val="4"/>
        <rFont val="Arial"/>
        <family val="2"/>
      </rPr>
      <t xml:space="preserve"> </t>
    </r>
    <r>
      <rPr>
        <sz val="10"/>
        <rFont val="Arial"/>
        <family val="2"/>
      </rPr>
      <t>Spin</t>
    </r>
    <r>
      <rPr>
        <sz val="8"/>
        <rFont val="Arial"/>
        <family val="2"/>
      </rPr>
      <t>(yes/no)</t>
    </r>
  </si>
  <si>
    <r>
      <t>Masthead</t>
    </r>
    <r>
      <rPr>
        <sz val="4"/>
        <rFont val="Arial"/>
        <family val="2"/>
      </rPr>
      <t xml:space="preserve"> </t>
    </r>
    <r>
      <rPr>
        <sz val="10"/>
        <rFont val="Arial"/>
        <family val="2"/>
      </rPr>
      <t>Scr.</t>
    </r>
    <r>
      <rPr>
        <sz val="8"/>
        <rFont val="Arial"/>
        <family val="2"/>
      </rPr>
      <t>(yes/no)</t>
    </r>
  </si>
  <si>
    <t>The Rating Committee has no responsibility for the seaworthiness or safety of yachts rated &amp; cites US SAILING Fundamental Rule 4, "It shall be the sole responsibility of each yacht to decide whether or not to start or to continue to race".</t>
  </si>
  <si>
    <t>US Sailing and/or ISAF ERS methods of sail measurement may apply above, not class rules.  Longest Luff Lengths from Class Rules &amp; Maximum Sail Areas and will be assumed if not provided.  Weight Sailing will be lightest boat in Class unless weighed w/inspection.</t>
  </si>
  <si>
    <t xml:space="preserve">Area: </t>
  </si>
  <si>
    <t>Leach</t>
  </si>
  <si>
    <t>Foot</t>
  </si>
  <si>
    <t>LuffL.roach + or -</t>
  </si>
  <si>
    <t>Ft.roach + or -</t>
  </si>
  <si>
    <t>Mid-Girth</t>
  </si>
  <si>
    <t>Sc.SMG as % Sc.SF</t>
  </si>
  <si>
    <t>Sprit Length</t>
  </si>
  <si>
    <r>
      <t>Inboard</t>
    </r>
    <r>
      <rPr>
        <sz val="8"/>
        <rFont val="Arial"/>
        <family val="2"/>
      </rPr>
      <t xml:space="preserve"> (hp x type)</t>
    </r>
  </si>
  <si>
    <r>
      <t>Outboard</t>
    </r>
    <r>
      <rPr>
        <sz val="8"/>
        <rFont val="Arial"/>
        <family val="2"/>
      </rPr>
      <t xml:space="preserve"> (hp x type)</t>
    </r>
  </si>
  <si>
    <r>
      <t>MastCirc</t>
    </r>
    <r>
      <rPr>
        <sz val="6"/>
        <rFont val="Arial"/>
        <family val="2"/>
      </rPr>
      <t/>
    </r>
  </si>
  <si>
    <r>
      <t>Displacement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(Load.cell metric or Mfg Displ)</t>
    </r>
  </si>
  <si>
    <t>Descriptions of terms used for sails, hull measurement &amp; sailing weight are on following pages.   Sail Areas, Luff Lengths, Foot &amp; LP generally come from the sailmaker. Where possible, please give measurements in metric or feet &amp; decimals. Please provide drawings or pictures showing side &amp; end views of your boat from deck to bottom &amp; attach to the application if a modified or custom boat.</t>
  </si>
  <si>
    <r>
      <t>Symmetric Spin</t>
    </r>
    <r>
      <rPr>
        <sz val="8"/>
        <rFont val="Arial"/>
        <family val="2"/>
      </rPr>
      <t xml:space="preserve"> (largest)</t>
    </r>
  </si>
  <si>
    <r>
      <t>Source of the information Provided</t>
    </r>
    <r>
      <rPr>
        <sz val="9"/>
        <rFont val="Arial"/>
        <family val="2"/>
      </rPr>
      <t xml:space="preserve"> (Circle/check all that apply)</t>
    </r>
  </si>
  <si>
    <t>Transit of Venus</t>
  </si>
  <si>
    <t>Corsair 37CR</t>
  </si>
  <si>
    <t>Corsair Marine</t>
  </si>
  <si>
    <t>Embarcadero Cove, City of Oakland</t>
  </si>
  <si>
    <r>
      <t>Mainsail</t>
    </r>
    <r>
      <rPr>
        <sz val="8"/>
        <color indexed="12"/>
        <rFont val="Arial"/>
        <family val="2"/>
      </rPr>
      <t xml:space="preserve"> 2008 Calvert</t>
    </r>
  </si>
  <si>
    <r>
      <t>Jib / Genoa</t>
    </r>
    <r>
      <rPr>
        <sz val="8"/>
        <rFont val="Arial"/>
        <family val="2"/>
      </rPr>
      <t xml:space="preserve"> (largest)</t>
    </r>
    <r>
      <rPr>
        <sz val="8"/>
        <color indexed="12"/>
        <rFont val="Arial"/>
        <family val="2"/>
      </rPr>
      <t xml:space="preserve"> 2008 Calvert</t>
    </r>
  </si>
  <si>
    <r>
      <t>Screacher</t>
    </r>
    <r>
      <rPr>
        <sz val="8"/>
        <color indexed="12"/>
        <rFont val="Arial"/>
        <family val="2"/>
      </rPr>
      <t xml:space="preserve"> 2008 Calvert</t>
    </r>
  </si>
  <si>
    <r>
      <t>Asymmetric Spin</t>
    </r>
    <r>
      <rPr>
        <sz val="8"/>
        <rFont val="Arial"/>
        <family val="2"/>
      </rPr>
      <t xml:space="preserve"> (largest)</t>
    </r>
    <r>
      <rPr>
        <sz val="8"/>
        <color indexed="12"/>
        <rFont val="Arial"/>
        <family val="2"/>
      </rPr>
      <t xml:space="preserve"> 2011 Calvert</t>
    </r>
  </si>
  <si>
    <t>yes</t>
  </si>
  <si>
    <t>no</t>
  </si>
  <si>
    <t>20 hp, Honda</t>
  </si>
  <si>
    <t>37 ft.</t>
  </si>
  <si>
    <t>35 ft.</t>
  </si>
  <si>
    <t>25 ft. 7 in.</t>
  </si>
  <si>
    <t>6 ft.</t>
  </si>
  <si>
    <t>synthetic shrouds</t>
  </si>
  <si>
    <t>20 ga.</t>
  </si>
  <si>
    <t>full</t>
  </si>
  <si>
    <t>Sail Area Measurements</t>
  </si>
  <si>
    <t>A Sail Loft Area needs corresponding Luff lengths &amp; LPG / Mainsail Foot (E).  Sail Loft computer design s/w provides more accurate areas.  It is preferred that a sail loft actually measure the sails &amp; provide Areas w/roach &amp; metrics, or fill out this sheet. An alternative: a competitor may measure the sails. Please use feet and tenths of feet, or metric for measurement.</t>
  </si>
  <si>
    <t>Mast Circumference</t>
  </si>
  <si>
    <t>Imp sq.ft</t>
  </si>
  <si>
    <t>Metric sq.m</t>
  </si>
  <si>
    <t>Mainsail</t>
  </si>
  <si>
    <t>SA= (Foot*2+MGM*3+1.5*MGU+MGT+.5*HW)*Luff/8</t>
  </si>
  <si>
    <t>Imp.</t>
  </si>
  <si>
    <t>Metric</t>
  </si>
  <si>
    <t>Luff / P</t>
  </si>
  <si>
    <t>Foot / E</t>
  </si>
  <si>
    <t>Maximum MGT (max 7/8 point girth) =</t>
  </si>
  <si>
    <t>Maximum MGU (max 3/4 point girth)=</t>
  </si>
  <si>
    <t>Maximum MGM (max 1/2 point girth)=</t>
  </si>
  <si>
    <t>MGL</t>
  </si>
  <si>
    <t>Maximum MGL (max 1/4 point girth) =</t>
  </si>
  <si>
    <t>Leech</t>
  </si>
  <si>
    <t>sq.ft</t>
  </si>
  <si>
    <t>sq.m</t>
  </si>
  <si>
    <t>SA= Luff * LP * .5</t>
  </si>
  <si>
    <r>
      <t>Luff Length</t>
    </r>
    <r>
      <rPr>
        <sz val="9"/>
        <rFont val="Arial"/>
        <family val="2"/>
      </rPr>
      <t xml:space="preserve"> (S1)</t>
    </r>
  </si>
  <si>
    <t>Maximum Luff =</t>
  </si>
  <si>
    <r>
      <t>LPG</t>
    </r>
    <r>
      <rPr>
        <sz val="9"/>
        <rFont val="Arial"/>
        <family val="2"/>
      </rPr>
      <t xml:space="preserve"> (H1)</t>
    </r>
  </si>
  <si>
    <t>Maximum Overlap =</t>
  </si>
  <si>
    <r>
      <t>Leach</t>
    </r>
    <r>
      <rPr>
        <sz val="9"/>
        <rFont val="Arial"/>
        <family val="2"/>
      </rPr>
      <t xml:space="preserve"> (S2)</t>
    </r>
  </si>
  <si>
    <r>
      <t>Foot</t>
    </r>
    <r>
      <rPr>
        <sz val="9"/>
        <rFont val="Arial"/>
        <family val="2"/>
      </rPr>
      <t xml:space="preserve"> (S3)</t>
    </r>
  </si>
  <si>
    <r>
      <t>Lu.roach</t>
    </r>
    <r>
      <rPr>
        <sz val="9"/>
        <rFont val="Arial"/>
        <family val="2"/>
      </rPr>
      <t xml:space="preserve"> (+/- P1)</t>
    </r>
  </si>
  <si>
    <r>
      <t>Le.roach</t>
    </r>
    <r>
      <rPr>
        <sz val="9"/>
        <rFont val="Arial"/>
        <family val="2"/>
      </rPr>
      <t xml:space="preserve"> (+/- P2)</t>
    </r>
  </si>
  <si>
    <r>
      <t>Ft.roach</t>
    </r>
    <r>
      <rPr>
        <sz val="9"/>
        <rFont val="Arial"/>
        <family val="2"/>
      </rPr>
      <t xml:space="preserve"> (+/- P3)</t>
    </r>
  </si>
  <si>
    <t>Height (=vlg)</t>
  </si>
  <si>
    <t>Jib Height = 0.94 * Luff.Length</t>
  </si>
  <si>
    <t>Screacher</t>
  </si>
  <si>
    <t>Lu screacher</t>
  </si>
  <si>
    <t>LP</t>
  </si>
  <si>
    <t>smg screecher</t>
  </si>
  <si>
    <t>Le screacher</t>
  </si>
  <si>
    <t>sf screecher</t>
  </si>
  <si>
    <t>Asym.Spin.Large</t>
  </si>
  <si>
    <t>SA = (Luff+Leech)*(Foot + 4*Mid Girth) / 12</t>
  </si>
  <si>
    <t>SLU / Luff</t>
  </si>
  <si>
    <t>Head to tack (luff) maximum length =</t>
  </si>
  <si>
    <t>SLE / Leech</t>
  </si>
  <si>
    <t>Clew to head (leech) maximum length =</t>
  </si>
  <si>
    <t>ASF / Foot</t>
  </si>
  <si>
    <t>Tack to clew (foot) maximum length =</t>
  </si>
  <si>
    <t>ASMG / mid-girth</t>
  </si>
  <si>
    <t>SMG =</t>
  </si>
  <si>
    <t>ISAF ERS</t>
  </si>
  <si>
    <t>SA= (SLU+SLE) x .25 x ASF + (ASMG-.5ASF) x (SLU+SLE)/3</t>
  </si>
  <si>
    <t>Corsair 37CR sail#7</t>
  </si>
  <si>
    <t>Calvert</t>
  </si>
  <si>
    <t>Declared Area (Molded)</t>
  </si>
  <si>
    <t>D.Calvert email 06/27/11 molded areas</t>
  </si>
  <si>
    <t>rotating</t>
  </si>
  <si>
    <t>R.Waltonsmith</t>
  </si>
  <si>
    <t>n/a</t>
  </si>
  <si>
    <r>
      <t>Texel</t>
    </r>
    <r>
      <rPr>
        <b/>
        <sz val="10"/>
        <color indexed="12"/>
        <rFont val="Arial"/>
        <family val="2"/>
      </rPr>
      <t xml:space="preserve"> AUS DEN THA NDL</t>
    </r>
  </si>
  <si>
    <r>
      <t xml:space="preserve">ISAF </t>
    </r>
    <r>
      <rPr>
        <b/>
        <sz val="10"/>
        <color indexed="12"/>
        <rFont val="Arial"/>
        <family val="2"/>
      </rPr>
      <t xml:space="preserve">Equipment Rules of Sailing </t>
    </r>
  </si>
  <si>
    <t>Corsair Sprint Class Sail # xyz, mainsail sample schrs.com</t>
  </si>
  <si>
    <t>S9 = a x h / 2</t>
  </si>
  <si>
    <t>a</t>
  </si>
  <si>
    <r>
      <t>S10</t>
    </r>
    <r>
      <rPr>
        <sz val="10"/>
        <rFont val="Arial"/>
        <family val="2"/>
      </rPr>
      <t xml:space="preserve"> = 2/3 </t>
    </r>
    <r>
      <rPr>
        <sz val="10"/>
        <color indexed="12"/>
        <rFont val="Arial"/>
        <family val="2"/>
      </rPr>
      <t>b</t>
    </r>
    <r>
      <rPr>
        <sz val="10"/>
        <rFont val="Arial"/>
        <family val="2"/>
      </rPr>
      <t xml:space="preserve"> x </t>
    </r>
    <r>
      <rPr>
        <sz val="10"/>
        <color indexed="12"/>
        <rFont val="Arial"/>
        <family val="2"/>
      </rPr>
      <t>h10</t>
    </r>
  </si>
  <si>
    <t>h</t>
  </si>
  <si>
    <r>
      <t>S11</t>
    </r>
    <r>
      <rPr>
        <sz val="10"/>
        <rFont val="Arial"/>
        <family val="2"/>
      </rPr>
      <t xml:space="preserve"> = 2/3 </t>
    </r>
    <r>
      <rPr>
        <sz val="10"/>
        <color indexed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sz val="10"/>
        <color indexed="10"/>
        <rFont val="Arial"/>
        <family val="2"/>
      </rPr>
      <t>h11</t>
    </r>
  </si>
  <si>
    <t>b</t>
  </si>
  <si>
    <r>
      <t>S12</t>
    </r>
    <r>
      <rPr>
        <sz val="10"/>
        <rFont val="Arial"/>
        <family val="2"/>
      </rPr>
      <t xml:space="preserve"> = 2/3 </t>
    </r>
    <r>
      <rPr>
        <sz val="10"/>
        <color indexed="17"/>
        <rFont val="Arial"/>
        <family val="2"/>
      </rPr>
      <t>a</t>
    </r>
    <r>
      <rPr>
        <sz val="10"/>
        <rFont val="Arial"/>
        <family val="2"/>
      </rPr>
      <t xml:space="preserve"> x </t>
    </r>
    <r>
      <rPr>
        <sz val="10"/>
        <color indexed="17"/>
        <rFont val="Arial"/>
        <family val="2"/>
      </rPr>
      <t>h12</t>
    </r>
  </si>
  <si>
    <t>h10</t>
  </si>
  <si>
    <r>
      <t>CJ</t>
    </r>
    <r>
      <rPr>
        <sz val="10"/>
        <rFont val="Arial"/>
        <family val="2"/>
      </rPr>
      <t xml:space="preserve"> = ( S9 +or- S10 +or- S11 +or- S12 ) m2</t>
    </r>
  </si>
  <si>
    <t>h11</t>
  </si>
  <si>
    <r>
      <t>(</t>
    </r>
    <r>
      <rPr>
        <b/>
        <sz val="10"/>
        <rFont val="Arial"/>
        <family val="2"/>
      </rPr>
      <t>CJ</t>
    </r>
    <r>
      <rPr>
        <sz val="10"/>
        <rFont val="Arial"/>
        <family val="2"/>
      </rPr>
      <t>/S9)-1</t>
    </r>
  </si>
  <si>
    <t>h12</t>
  </si>
  <si>
    <t>Sq.Ft</t>
  </si>
  <si>
    <t>CSPI = SFx(SL1+SL2)/4+(SMG*-SF/2)x2/3(SL1+SL2)/2 m2</t>
  </si>
  <si>
    <t>SL1</t>
  </si>
  <si>
    <t>SL2</t>
  </si>
  <si>
    <t>SMG % SF</t>
  </si>
  <si>
    <t>SF</t>
  </si>
  <si>
    <t>* where SMG &gt;= 75% of SF</t>
  </si>
  <si>
    <r>
      <t xml:space="preserve">CM - Area of Mainsail </t>
    </r>
    <r>
      <rPr>
        <sz val="10"/>
        <rFont val="Arial"/>
        <family val="2"/>
      </rPr>
      <t>(template equation, sample data)</t>
    </r>
  </si>
  <si>
    <t>S1 = ((h + h1)(a - a1) + (a1 x h))/2</t>
  </si>
  <si>
    <t>S2 = c x h2/2</t>
  </si>
  <si>
    <t>h1</t>
  </si>
  <si>
    <t>S3 = 2/3 c3 x h3</t>
  </si>
  <si>
    <t>S4 = c4 x h4/2</t>
  </si>
  <si>
    <t>a1</t>
  </si>
  <si>
    <t>S5 = 2/3 c5 x h5</t>
  </si>
  <si>
    <t>S6 = 2/3 c6 x h6</t>
  </si>
  <si>
    <t>h2</t>
  </si>
  <si>
    <t>S7 = 2/3 a x h7</t>
  </si>
  <si>
    <t>c3</t>
  </si>
  <si>
    <t>S8 = 2/3 b x h8</t>
  </si>
  <si>
    <t>h3</t>
  </si>
  <si>
    <t>CM* = (S1+S2+S3+S4+S5+S6+S7+S8) m2</t>
  </si>
  <si>
    <t>c4</t>
  </si>
  <si>
    <t>h4</t>
  </si>
  <si>
    <r>
      <t>CM = (CM* + Area of Mast + Area of Boom) m</t>
    </r>
    <r>
      <rPr>
        <vertAlign val="superscript"/>
        <sz val="6"/>
        <rFont val="Arial"/>
        <family val="2"/>
      </rPr>
      <t>2</t>
    </r>
  </si>
  <si>
    <t>c5</t>
  </si>
  <si>
    <t>Non-Rotating Masts add no Sail Area</t>
  </si>
  <si>
    <t>h5</t>
  </si>
  <si>
    <r>
      <t>Area of Mast = (Total Length x Perimeter / 2) m</t>
    </r>
    <r>
      <rPr>
        <vertAlign val="superscript"/>
        <sz val="6"/>
        <rFont val="Arial"/>
        <family val="2"/>
      </rPr>
      <t>2</t>
    </r>
  </si>
  <si>
    <t>c6</t>
  </si>
  <si>
    <r>
      <t>Area of Boom = (Total Length x Height) m</t>
    </r>
    <r>
      <rPr>
        <vertAlign val="superscript"/>
        <sz val="6"/>
        <rFont val="Arial"/>
        <family val="2"/>
      </rPr>
      <t>2</t>
    </r>
  </si>
  <si>
    <t>h6</t>
  </si>
  <si>
    <t>Larger Multihulls Mast Area = (MC/2 * a); a = P.luff or VLM</t>
  </si>
  <si>
    <t>h7</t>
  </si>
  <si>
    <t>h8</t>
  </si>
  <si>
    <t>Jib - Large, Furling</t>
  </si>
  <si>
    <r>
      <t>CSPI - Area of Spinnaker</t>
    </r>
    <r>
      <rPr>
        <sz val="10"/>
        <rFont val="Arial"/>
        <family val="2"/>
      </rPr>
      <t xml:space="preserve"> C-37 #7</t>
    </r>
  </si>
  <si>
    <r>
      <t>CJ - Area of Jib</t>
    </r>
    <r>
      <rPr>
        <sz val="10"/>
        <rFont val="Arial"/>
        <family val="2"/>
      </rPr>
      <t xml:space="preserve"> C-37 Calvert Jib, Major Dims, Foot and Roach Estimates</t>
    </r>
  </si>
  <si>
    <t>Imp</t>
  </si>
  <si>
    <t>28.8 stated, visio 14.8</t>
  </si>
  <si>
    <t>Ft.b reported 28.8' 8.78 meters</t>
  </si>
  <si>
    <t>C-31R</t>
  </si>
  <si>
    <t>Jib</t>
  </si>
  <si>
    <t>checked again</t>
  </si>
  <si>
    <t>Rule.In.</t>
  </si>
  <si>
    <t>Visio</t>
  </si>
  <si>
    <r>
      <t>a</t>
    </r>
    <r>
      <rPr>
        <sz val="10"/>
        <rFont val="Arial"/>
        <family val="2"/>
      </rPr>
      <t xml:space="preserve"> Luff</t>
    </r>
  </si>
  <si>
    <r>
      <t>b</t>
    </r>
    <r>
      <rPr>
        <sz val="10"/>
        <rFont val="Arial"/>
        <family val="2"/>
      </rPr>
      <t xml:space="preserve"> Ft</t>
    </r>
  </si>
  <si>
    <r>
      <t>h10</t>
    </r>
    <r>
      <rPr>
        <sz val="10"/>
        <rFont val="Arial"/>
        <family val="2"/>
      </rPr>
      <t xml:space="preserve"> Ft.R</t>
    </r>
  </si>
  <si>
    <r>
      <t>c</t>
    </r>
    <r>
      <rPr>
        <sz val="10"/>
        <rFont val="Arial"/>
        <family val="2"/>
      </rPr>
      <t xml:space="preserve"> Le</t>
    </r>
  </si>
  <si>
    <r>
      <t>h11</t>
    </r>
    <r>
      <rPr>
        <sz val="10"/>
        <rFont val="Arial"/>
        <family val="2"/>
      </rPr>
      <t xml:space="preserve"> Le.R</t>
    </r>
  </si>
  <si>
    <r>
      <t>h12</t>
    </r>
    <r>
      <rPr>
        <sz val="10"/>
        <rFont val="Arial"/>
        <family val="2"/>
      </rPr>
      <t xml:space="preserve"> Lu.R</t>
    </r>
  </si>
  <si>
    <t>Average 14 x AUS C31, F9A</t>
  </si>
  <si>
    <t>C-37CR</t>
  </si>
  <si>
    <t>First Num.</t>
  </si>
  <si>
    <t>LPM</t>
  </si>
  <si>
    <t>Le/2</t>
  </si>
  <si>
    <t>Ft Estimate = 14.8'</t>
  </si>
  <si>
    <t>x Visio Check</t>
  </si>
  <si>
    <t>C-37CR #7</t>
  </si>
  <si>
    <t>2.9 deg.</t>
  </si>
  <si>
    <t>Check E v. 90 degree</t>
  </si>
  <si>
    <t>Estimate</t>
  </si>
  <si>
    <t>Le2.Roach</t>
  </si>
  <si>
    <t>M.Le1</t>
  </si>
  <si>
    <t>M.Le2</t>
  </si>
  <si>
    <t>R. Waltonsmith</t>
  </si>
  <si>
    <t>2011 Rating - Bay Area Multihull Association</t>
  </si>
  <si>
    <r>
      <t>0.900</t>
    </r>
    <r>
      <rPr>
        <sz val="8"/>
        <rFont val="Arial"/>
        <family val="2"/>
      </rPr>
      <t xml:space="preserve"> preliminary</t>
    </r>
  </si>
  <si>
    <t>06/28/11: Calvert Sails, Mr.Calvert's email w/molded areas with specs.  Transit of Venus no WM; TCF Range 0.890 -&gt; 0.900 per Thailand high-low WM (3,523kg-&gt;3,403kg).
06/17/11: Added watermaker, remove pressurized Hot/Cold water system, Thailand C-37 Zhuka tcf 0.907 7,502.lb 3,403.kg, C-37 Miss Saigon tcf 0.876 7,767.lb 3,523.kg 
Factory boat with the addition of Coligo, synthetic runners.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</si>
</sst>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00"/>
    <numFmt numFmtId="165" formatCode="[$-409]m/d/yy\ h:mm\ AM/PM;@"/>
    <numFmt numFmtId="166" formatCode="0.0"/>
    <numFmt numFmtId="167" formatCode="0.00000"/>
    <numFmt numFmtId="168" formatCode="0.0%"/>
    <numFmt numFmtId="169" formatCode="0.0000"/>
  </numFmts>
  <fonts count="9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8"/>
      <name val="Arial"/>
      <family val="2"/>
    </font>
    <font>
      <sz val="8"/>
      <name val="Webdings"/>
      <family val="1"/>
      <charset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4"/>
      <name val="Arial"/>
      <family val="2"/>
    </font>
    <font>
      <sz val="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indexed="55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6"/>
      <name val="Arial"/>
      <family val="2"/>
    </font>
    <font>
      <sz val="10"/>
      <color indexed="12"/>
      <name val="Arial"/>
      <family val="2"/>
    </font>
    <font>
      <sz val="6"/>
      <name val="Webdings"/>
      <family val="1"/>
      <charset val="2"/>
    </font>
    <font>
      <sz val="9"/>
      <name val="Arial"/>
      <family val="2"/>
    </font>
    <font>
      <b/>
      <sz val="10"/>
      <color indexed="62"/>
      <name val="Arial"/>
      <family val="2"/>
    </font>
    <font>
      <b/>
      <sz val="12"/>
      <color indexed="12"/>
      <name val="Arial"/>
      <family val="2"/>
    </font>
    <font>
      <i/>
      <sz val="8"/>
      <name val="Arial"/>
      <family val="2"/>
    </font>
    <font>
      <i/>
      <sz val="8"/>
      <color indexed="10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b/>
      <sz val="4"/>
      <name val="Arial"/>
      <family val="2"/>
    </font>
    <font>
      <i/>
      <sz val="4"/>
      <color indexed="12"/>
      <name val="Arial"/>
      <family val="2"/>
    </font>
    <font>
      <i/>
      <sz val="4"/>
      <color indexed="10"/>
      <name val="Arial"/>
      <family val="2"/>
    </font>
    <font>
      <b/>
      <sz val="10"/>
      <color indexed="55"/>
      <name val="Arial"/>
      <family val="2"/>
    </font>
    <font>
      <i/>
      <sz val="10"/>
      <color indexed="12"/>
      <name val="Arial"/>
      <family val="2"/>
    </font>
    <font>
      <b/>
      <sz val="10"/>
      <color indexed="10"/>
      <name val="Arial"/>
      <family val="2"/>
    </font>
    <font>
      <b/>
      <i/>
      <sz val="8"/>
      <color indexed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  <font>
      <sz val="8"/>
      <name val="Arial Narrow"/>
      <family val="2"/>
    </font>
    <font>
      <sz val="9"/>
      <color indexed="23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6"/>
      <name val="Arial"/>
      <family val="2"/>
    </font>
    <font>
      <i/>
      <sz val="6"/>
      <name val="Arial"/>
      <family val="2"/>
    </font>
    <font>
      <b/>
      <i/>
      <sz val="6"/>
      <name val="Arial"/>
      <family val="2"/>
    </font>
    <font>
      <sz val="12"/>
      <color indexed="8"/>
      <name val="Arial"/>
      <family val="2"/>
    </font>
    <font>
      <sz val="10"/>
      <name val="Verdana"/>
      <family val="2"/>
    </font>
    <font>
      <u/>
      <sz val="10"/>
      <color indexed="12"/>
      <name val="Arial"/>
      <family val="2"/>
    </font>
    <font>
      <sz val="10"/>
      <color indexed="23"/>
      <name val="Arial"/>
      <family val="2"/>
    </font>
    <font>
      <sz val="10"/>
      <color indexed="22"/>
      <name val="Arial"/>
      <family val="2"/>
    </font>
    <font>
      <sz val="11"/>
      <color indexed="12"/>
      <name val="Arial"/>
      <family val="2"/>
    </font>
    <font>
      <b/>
      <sz val="10"/>
      <color indexed="12"/>
      <name val="Arial"/>
      <family val="2"/>
    </font>
    <font>
      <sz val="12"/>
      <color indexed="12"/>
      <name val="Arial"/>
      <family val="2"/>
    </font>
    <font>
      <b/>
      <sz val="11"/>
      <color indexed="12"/>
      <name val="Arial"/>
      <family val="2"/>
    </font>
    <font>
      <sz val="9"/>
      <color indexed="18"/>
      <name val="Verdana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b/>
      <sz val="10"/>
      <color indexed="17"/>
      <name val="Arial"/>
      <family val="2"/>
    </font>
    <font>
      <vertAlign val="superscript"/>
      <sz val="6"/>
      <name val="Arial"/>
      <family val="2"/>
    </font>
    <font>
      <b/>
      <sz val="8"/>
      <color indexed="55"/>
      <name val="Arial"/>
      <family val="2"/>
    </font>
    <font>
      <b/>
      <sz val="8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7"/>
      <name val="Arial"/>
      <family val="2"/>
    </font>
    <font>
      <sz val="10"/>
      <color indexed="44"/>
      <name val="Arial"/>
      <family val="2"/>
    </font>
    <font>
      <sz val="10"/>
      <color indexed="44"/>
      <name val="Arial"/>
      <family val="2"/>
    </font>
    <font>
      <b/>
      <sz val="9"/>
      <color indexed="10"/>
      <name val="Arial"/>
      <family val="2"/>
    </font>
    <font>
      <b/>
      <sz val="10"/>
      <color indexed="14"/>
      <name val="Arial"/>
      <family val="2"/>
    </font>
    <font>
      <sz val="8"/>
      <color indexed="14"/>
      <name val="Arial"/>
      <family val="2"/>
    </font>
    <font>
      <sz val="8"/>
      <color indexed="55"/>
      <name val="Arial"/>
      <family val="2"/>
    </font>
    <font>
      <sz val="8"/>
      <color indexed="55"/>
      <name val="Arial"/>
      <family val="2"/>
    </font>
    <font>
      <sz val="9"/>
      <color indexed="63"/>
      <name val="Arial"/>
      <family val="2"/>
    </font>
    <font>
      <u/>
      <sz val="10"/>
      <color theme="10"/>
      <name val="Arial"/>
      <family val="2"/>
    </font>
    <font>
      <sz val="10"/>
      <color rgb="FF00B0F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9" borderId="0" applyNumberFormat="0" applyBorder="0" applyAlignment="0" applyProtection="0"/>
    <xf numFmtId="0" fontId="26" fillId="3" borderId="0" applyNumberFormat="0" applyBorder="0" applyAlignment="0" applyProtection="0"/>
    <xf numFmtId="0" fontId="27" fillId="20" borderId="1" applyNumberFormat="0" applyAlignment="0" applyProtection="0"/>
    <xf numFmtId="0" fontId="28" fillId="21" borderId="2" applyNumberFormat="0" applyAlignment="0" applyProtection="0"/>
    <xf numFmtId="0" fontId="29" fillId="0" borderId="0" applyNumberFormat="0" applyFill="0" applyBorder="0" applyAlignment="0" applyProtection="0"/>
    <xf numFmtId="0" fontId="30" fillId="4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96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34" fillId="7" borderId="1" applyNumberFormat="0" applyAlignment="0" applyProtection="0"/>
    <xf numFmtId="0" fontId="35" fillId="0" borderId="6" applyNumberFormat="0" applyFill="0" applyAlignment="0" applyProtection="0"/>
    <xf numFmtId="0" fontId="36" fillId="22" borderId="0" applyNumberFormat="0" applyBorder="0" applyAlignment="0" applyProtection="0"/>
    <xf numFmtId="0" fontId="4" fillId="0" borderId="0"/>
    <xf numFmtId="0" fontId="1" fillId="0" borderId="0"/>
    <xf numFmtId="0" fontId="70" fillId="0" borderId="0"/>
    <xf numFmtId="0" fontId="3" fillId="0" borderId="0"/>
    <xf numFmtId="0" fontId="61" fillId="0" borderId="0"/>
    <xf numFmtId="0" fontId="37" fillId="23" borderId="7" applyNumberFormat="0" applyFont="0" applyAlignment="0" applyProtection="0"/>
    <xf numFmtId="0" fontId="38" fillId="20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</cellStyleXfs>
  <cellXfs count="288">
    <xf numFmtId="0" fontId="0" fillId="0" borderId="0" xfId="0"/>
    <xf numFmtId="49" fontId="5" fillId="0" borderId="0" xfId="43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/>
    <xf numFmtId="0" fontId="7" fillId="0" borderId="0" xfId="0" applyFont="1"/>
    <xf numFmtId="0" fontId="9" fillId="0" borderId="0" xfId="0" applyFont="1"/>
    <xf numFmtId="0" fontId="0" fillId="0" borderId="10" xfId="0" applyBorder="1"/>
    <xf numFmtId="0" fontId="1" fillId="0" borderId="10" xfId="0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15" xfId="0" applyFont="1" applyBorder="1"/>
    <xf numFmtId="0" fontId="7" fillId="0" borderId="12" xfId="0" applyFont="1" applyBorder="1"/>
    <xf numFmtId="0" fontId="2" fillId="0" borderId="12" xfId="0" applyFont="1" applyBorder="1"/>
    <xf numFmtId="0" fontId="1" fillId="0" borderId="12" xfId="0" applyFont="1" applyBorder="1"/>
    <xf numFmtId="0" fontId="1" fillId="0" borderId="13" xfId="0" applyFont="1" applyBorder="1"/>
    <xf numFmtId="0" fontId="4" fillId="0" borderId="12" xfId="0" applyFont="1" applyBorder="1"/>
    <xf numFmtId="0" fontId="8" fillId="0" borderId="0" xfId="0" applyFont="1" applyBorder="1"/>
    <xf numFmtId="49" fontId="8" fillId="0" borderId="0" xfId="43" applyNumberFormat="1" applyFont="1" applyBorder="1" applyAlignment="1">
      <alignment horizontal="right" vertical="center" wrapText="1"/>
    </xf>
    <xf numFmtId="49" fontId="11" fillId="0" borderId="0" xfId="43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/>
    </xf>
    <xf numFmtId="0" fontId="13" fillId="0" borderId="0" xfId="0" applyFont="1"/>
    <xf numFmtId="0" fontId="14" fillId="0" borderId="0" xfId="0" applyFont="1"/>
    <xf numFmtId="49" fontId="14" fillId="0" borderId="0" xfId="43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/>
    <xf numFmtId="0" fontId="1" fillId="0" borderId="0" xfId="0" applyFont="1" applyAlignment="1">
      <alignment wrapText="1"/>
    </xf>
    <xf numFmtId="0" fontId="16" fillId="0" borderId="0" xfId="0" applyFont="1" applyAlignment="1"/>
    <xf numFmtId="0" fontId="1" fillId="0" borderId="0" xfId="0" applyFont="1" applyAlignment="1">
      <alignment vertical="top" wrapText="1"/>
    </xf>
    <xf numFmtId="0" fontId="0" fillId="0" borderId="16" xfId="0" applyBorder="1"/>
    <xf numFmtId="0" fontId="1" fillId="0" borderId="0" xfId="0" applyFont="1" applyBorder="1"/>
    <xf numFmtId="0" fontId="7" fillId="0" borderId="17" xfId="0" applyFont="1" applyBorder="1"/>
    <xf numFmtId="0" fontId="7" fillId="0" borderId="0" xfId="0" applyFont="1" applyBorder="1"/>
    <xf numFmtId="0" fontId="1" fillId="0" borderId="0" xfId="0" applyFont="1" applyAlignment="1">
      <alignment horizontal="left" indent="1"/>
    </xf>
    <xf numFmtId="0" fontId="18" fillId="0" borderId="0" xfId="0" applyFont="1" applyBorder="1"/>
    <xf numFmtId="49" fontId="4" fillId="0" borderId="0" xfId="43" applyNumberFormat="1" applyFont="1" applyBorder="1" applyAlignment="1">
      <alignment horizontal="right"/>
    </xf>
    <xf numFmtId="49" fontId="19" fillId="0" borderId="0" xfId="43" applyNumberFormat="1" applyFont="1" applyBorder="1" applyAlignment="1">
      <alignment horizontal="right"/>
    </xf>
    <xf numFmtId="0" fontId="20" fillId="0" borderId="12" xfId="0" applyFont="1" applyBorder="1"/>
    <xf numFmtId="0" fontId="17" fillId="0" borderId="10" xfId="0" applyFont="1" applyBorder="1" applyAlignment="1"/>
    <xf numFmtId="0" fontId="0" fillId="0" borderId="10" xfId="0" applyBorder="1" applyAlignment="1">
      <alignment horizontal="right"/>
    </xf>
    <xf numFmtId="0" fontId="16" fillId="0" borderId="0" xfId="0" applyFont="1" applyAlignment="1">
      <alignment vertical="top" wrapText="1"/>
    </xf>
    <xf numFmtId="0" fontId="8" fillId="0" borderId="0" xfId="0" applyFont="1" applyBorder="1" applyAlignment="1"/>
    <xf numFmtId="0" fontId="12" fillId="0" borderId="0" xfId="0" applyFont="1" applyBorder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2" fillId="0" borderId="15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10" fillId="0" borderId="14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4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49" fontId="4" fillId="0" borderId="0" xfId="43" applyNumberFormat="1" applyFont="1" applyBorder="1" applyAlignment="1">
      <alignment horizontal="right" vertical="center"/>
    </xf>
    <xf numFmtId="2" fontId="43" fillId="0" borderId="17" xfId="0" applyNumberFormat="1" applyFont="1" applyBorder="1" applyAlignment="1">
      <alignment horizontal="right" indent="1"/>
    </xf>
    <xf numFmtId="2" fontId="10" fillId="0" borderId="17" xfId="0" applyNumberFormat="1" applyFont="1" applyBorder="1" applyAlignment="1">
      <alignment horizontal="right" indent="1"/>
    </xf>
    <xf numFmtId="43" fontId="17" fillId="0" borderId="17" xfId="0" applyNumberFormat="1" applyFont="1" applyBorder="1" applyAlignment="1">
      <alignment horizontal="right" indent="1"/>
    </xf>
    <xf numFmtId="0" fontId="10" fillId="0" borderId="17" xfId="0" applyFont="1" applyBorder="1" applyAlignment="1">
      <alignment horizontal="right" indent="1"/>
    </xf>
    <xf numFmtId="0" fontId="10" fillId="0" borderId="14" xfId="0" applyFont="1" applyBorder="1" applyAlignment="1">
      <alignment horizontal="right" indent="1"/>
    </xf>
    <xf numFmtId="2" fontId="10" fillId="0" borderId="14" xfId="0" applyNumberFormat="1" applyFont="1" applyBorder="1" applyAlignment="1">
      <alignment horizontal="right" indent="1"/>
    </xf>
    <xf numFmtId="0" fontId="45" fillId="0" borderId="13" xfId="0" applyFont="1" applyBorder="1"/>
    <xf numFmtId="9" fontId="10" fillId="0" borderId="14" xfId="0" applyNumberFormat="1" applyFont="1" applyBorder="1" applyAlignment="1">
      <alignment horizontal="right" indent="1"/>
    </xf>
    <xf numFmtId="0" fontId="23" fillId="0" borderId="17" xfId="0" applyFont="1" applyBorder="1" applyAlignment="1">
      <alignment horizontal="right" indent="1"/>
    </xf>
    <xf numFmtId="0" fontId="23" fillId="0" borderId="14" xfId="0" applyFont="1" applyBorder="1" applyAlignment="1">
      <alignment horizontal="right" indent="1"/>
    </xf>
    <xf numFmtId="14" fontId="10" fillId="0" borderId="14" xfId="0" applyNumberFormat="1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0" fontId="22" fillId="0" borderId="0" xfId="0" applyFont="1" applyBorder="1"/>
    <xf numFmtId="0" fontId="46" fillId="0" borderId="0" xfId="0" applyFont="1" applyBorder="1" applyAlignment="1">
      <alignment horizontal="left" vertical="center"/>
    </xf>
    <xf numFmtId="0" fontId="48" fillId="0" borderId="0" xfId="0" applyFont="1" applyAlignment="1">
      <alignment horizontal="right"/>
    </xf>
    <xf numFmtId="0" fontId="49" fillId="0" borderId="0" xfId="0" applyFont="1" applyAlignment="1">
      <alignment horizontal="right"/>
    </xf>
    <xf numFmtId="4" fontId="52" fillId="0" borderId="0" xfId="0" applyNumberFormat="1" applyFont="1"/>
    <xf numFmtId="0" fontId="5" fillId="0" borderId="0" xfId="0" applyFont="1"/>
    <xf numFmtId="0" fontId="2" fillId="0" borderId="0" xfId="0" applyFont="1"/>
    <xf numFmtId="0" fontId="5" fillId="0" borderId="0" xfId="0" applyFont="1" applyAlignment="1">
      <alignment horizontal="right"/>
    </xf>
    <xf numFmtId="0" fontId="53" fillId="0" borderId="0" xfId="0" applyFont="1"/>
    <xf numFmtId="0" fontId="54" fillId="0" borderId="0" xfId="0" applyFont="1" applyAlignment="1">
      <alignment horizontal="left"/>
    </xf>
    <xf numFmtId="0" fontId="14" fillId="0" borderId="0" xfId="0" applyFont="1" applyAlignment="1"/>
    <xf numFmtId="0" fontId="14" fillId="0" borderId="0" xfId="0" applyFont="1" applyAlignment="1">
      <alignment horizontal="right"/>
    </xf>
    <xf numFmtId="0" fontId="55" fillId="0" borderId="0" xfId="0" applyFont="1" applyAlignment="1">
      <alignment horizontal="right"/>
    </xf>
    <xf numFmtId="0" fontId="4" fillId="0" borderId="0" xfId="0" applyFont="1"/>
    <xf numFmtId="0" fontId="56" fillId="0" borderId="0" xfId="41" applyFont="1"/>
    <xf numFmtId="2" fontId="4" fillId="0" borderId="0" xfId="0" applyNumberFormat="1" applyFont="1" applyFill="1" applyBorder="1"/>
    <xf numFmtId="164" fontId="4" fillId="0" borderId="0" xfId="0" applyNumberFormat="1" applyFont="1" applyFill="1" applyBorder="1"/>
    <xf numFmtId="0" fontId="4" fillId="0" borderId="0" xfId="0" applyFont="1" applyFill="1" applyBorder="1"/>
    <xf numFmtId="165" fontId="5" fillId="0" borderId="0" xfId="41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9" fillId="0" borderId="0" xfId="41" applyFont="1" applyAlignment="1">
      <alignment horizontal="left"/>
    </xf>
    <xf numFmtId="0" fontId="1" fillId="0" borderId="0" xfId="41" applyAlignment="1">
      <alignment horizontal="left"/>
    </xf>
    <xf numFmtId="0" fontId="60" fillId="0" borderId="0" xfId="41" applyFont="1" applyAlignment="1">
      <alignment horizontal="right"/>
    </xf>
    <xf numFmtId="0" fontId="5" fillId="0" borderId="0" xfId="0" applyFont="1" applyAlignment="1">
      <alignment horizontal="left" indent="1"/>
    </xf>
    <xf numFmtId="0" fontId="60" fillId="0" borderId="0" xfId="41" applyFont="1" applyAlignment="1">
      <alignment horizontal="right" wrapText="1"/>
    </xf>
    <xf numFmtId="2" fontId="4" fillId="0" borderId="0" xfId="41" applyNumberFormat="1" applyFont="1"/>
    <xf numFmtId="2" fontId="5" fillId="0" borderId="0" xfId="41" applyNumberFormat="1" applyFont="1"/>
    <xf numFmtId="2" fontId="1" fillId="0" borderId="0" xfId="0" applyNumberFormat="1" applyFont="1" applyAlignment="1"/>
    <xf numFmtId="2" fontId="62" fillId="0" borderId="0" xfId="44" applyNumberFormat="1" applyFont="1" applyFill="1" applyBorder="1" applyAlignment="1">
      <alignment horizontal="center" vertical="top" wrapText="1"/>
    </xf>
    <xf numFmtId="2" fontId="4" fillId="0" borderId="0" xfId="44" applyNumberFormat="1" applyFont="1" applyFill="1" applyBorder="1" applyAlignment="1">
      <alignment horizontal="right" vertical="top" wrapText="1"/>
    </xf>
    <xf numFmtId="0" fontId="62" fillId="0" borderId="0" xfId="44" applyFont="1" applyFill="1" applyBorder="1" applyAlignment="1">
      <alignment horizontal="center" vertical="top" wrapText="1"/>
    </xf>
    <xf numFmtId="1" fontId="62" fillId="0" borderId="0" xfId="44" applyNumberFormat="1" applyFont="1" applyFill="1" applyBorder="1" applyAlignment="1">
      <alignment horizontal="center" vertical="top" wrapText="1"/>
    </xf>
    <xf numFmtId="2" fontId="5" fillId="0" borderId="0" xfId="0" applyNumberFormat="1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164" fontId="19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horizontal="right"/>
    </xf>
    <xf numFmtId="0" fontId="48" fillId="0" borderId="0" xfId="0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64" fillId="0" borderId="0" xfId="0" applyFont="1" applyFill="1" applyBorder="1" applyAlignment="1"/>
    <xf numFmtId="0" fontId="65" fillId="0" borderId="0" xfId="0" applyFont="1" applyFill="1" applyBorder="1" applyAlignment="1">
      <alignment horizontal="right"/>
    </xf>
    <xf numFmtId="0" fontId="66" fillId="0" borderId="0" xfId="0" applyFont="1"/>
    <xf numFmtId="2" fontId="67" fillId="0" borderId="0" xfId="0" applyNumberFormat="1" applyFont="1" applyFill="1" applyBorder="1" applyAlignment="1"/>
    <xf numFmtId="0" fontId="67" fillId="0" borderId="0" xfId="0" applyFont="1" applyFill="1" applyBorder="1" applyAlignment="1"/>
    <xf numFmtId="0" fontId="68" fillId="0" borderId="0" xfId="0" applyFont="1" applyFill="1" applyBorder="1" applyAlignment="1">
      <alignment horizontal="right"/>
    </xf>
    <xf numFmtId="0" fontId="66" fillId="0" borderId="0" xfId="0" applyFont="1" applyFill="1" applyBorder="1"/>
    <xf numFmtId="2" fontId="5" fillId="0" borderId="0" xfId="41" applyNumberFormat="1" applyFont="1" applyAlignment="1">
      <alignment horizontal="right"/>
    </xf>
    <xf numFmtId="2" fontId="48" fillId="0" borderId="0" xfId="0" applyNumberFormat="1" applyFont="1" applyFill="1" applyBorder="1" applyAlignment="1"/>
    <xf numFmtId="0" fontId="48" fillId="0" borderId="0" xfId="0" applyFont="1" applyFill="1" applyBorder="1" applyAlignment="1"/>
    <xf numFmtId="0" fontId="5" fillId="0" borderId="0" xfId="0" applyFont="1" applyFill="1" applyBorder="1"/>
    <xf numFmtId="0" fontId="42" fillId="0" borderId="0" xfId="0" applyFont="1"/>
    <xf numFmtId="2" fontId="0" fillId="0" borderId="0" xfId="0" applyNumberFormat="1"/>
    <xf numFmtId="164" fontId="4" fillId="0" borderId="0" xfId="0" applyNumberFormat="1" applyFont="1"/>
    <xf numFmtId="166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60" fillId="0" borderId="0" xfId="0" applyFont="1" applyFill="1" applyBorder="1"/>
    <xf numFmtId="0" fontId="69" fillId="0" borderId="0" xfId="0" applyFont="1" applyAlignment="1">
      <alignment vertical="center"/>
    </xf>
    <xf numFmtId="167" fontId="2" fillId="0" borderId="0" xfId="0" applyNumberFormat="1" applyFont="1" applyFill="1" applyBorder="1" applyAlignment="1"/>
    <xf numFmtId="2" fontId="5" fillId="0" borderId="0" xfId="0" applyNumberFormat="1" applyFont="1"/>
    <xf numFmtId="2" fontId="5" fillId="0" borderId="0" xfId="44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/>
    </xf>
    <xf numFmtId="0" fontId="5" fillId="0" borderId="0" xfId="41" applyFont="1" applyAlignment="1">
      <alignment horizontal="left" indent="1"/>
    </xf>
    <xf numFmtId="2" fontId="5" fillId="0" borderId="0" xfId="44" applyNumberFormat="1" applyFont="1" applyFill="1" applyBorder="1" applyAlignment="1">
      <alignment wrapText="1"/>
    </xf>
    <xf numFmtId="0" fontId="1" fillId="0" borderId="0" xfId="41" applyAlignment="1">
      <alignment wrapText="1"/>
    </xf>
    <xf numFmtId="2" fontId="1" fillId="0" borderId="0" xfId="41" applyNumberFormat="1"/>
    <xf numFmtId="0" fontId="4" fillId="0" borderId="0" xfId="0" applyFont="1" applyFill="1" applyBorder="1" applyAlignment="1">
      <alignment horizontal="right" vertical="top"/>
    </xf>
    <xf numFmtId="164" fontId="5" fillId="0" borderId="0" xfId="0" applyNumberFormat="1" applyFont="1"/>
    <xf numFmtId="2" fontId="4" fillId="0" borderId="0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42" applyFont="1" applyFill="1" applyBorder="1" applyProtection="1"/>
    <xf numFmtId="2" fontId="4" fillId="0" borderId="0" xfId="0" applyNumberFormat="1" applyFont="1" applyFill="1" applyBorder="1" applyAlignment="1">
      <alignment horizontal="right"/>
    </xf>
    <xf numFmtId="167" fontId="2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vertical="top"/>
    </xf>
    <xf numFmtId="168" fontId="5" fillId="0" borderId="0" xfId="0" applyNumberFormat="1" applyFont="1" applyFill="1" applyBorder="1" applyAlignment="1"/>
    <xf numFmtId="0" fontId="42" fillId="0" borderId="0" xfId="0" applyFont="1" applyAlignment="1">
      <alignment horizontal="left" indent="1"/>
    </xf>
    <xf numFmtId="0" fontId="22" fillId="0" borderId="0" xfId="0" applyFont="1" applyFill="1" applyBorder="1" applyAlignment="1"/>
    <xf numFmtId="0" fontId="42" fillId="0" borderId="0" xfId="0" applyFont="1" applyAlignment="1">
      <alignment horizontal="right"/>
    </xf>
    <xf numFmtId="0" fontId="42" fillId="0" borderId="0" xfId="36" applyFont="1" applyAlignment="1" applyProtection="1">
      <alignment horizontal="right"/>
    </xf>
    <xf numFmtId="2" fontId="4" fillId="0" borderId="0" xfId="44" applyNumberFormat="1" applyFont="1" applyFill="1" applyBorder="1" applyAlignment="1">
      <alignment wrapText="1"/>
    </xf>
    <xf numFmtId="164" fontId="4" fillId="0" borderId="0" xfId="0" applyNumberFormat="1" applyFont="1" applyAlignment="1">
      <alignment horizontal="right"/>
    </xf>
    <xf numFmtId="164" fontId="4" fillId="0" borderId="0" xfId="44" applyNumberFormat="1" applyFont="1" applyFill="1" applyBorder="1" applyAlignment="1">
      <alignment horizontal="right"/>
    </xf>
    <xf numFmtId="2" fontId="73" fillId="0" borderId="0" xfId="0" applyNumberFormat="1" applyFont="1"/>
    <xf numFmtId="0" fontId="43" fillId="0" borderId="0" xfId="0" applyFont="1" applyBorder="1" applyAlignment="1">
      <alignment horizontal="right" indent="1"/>
    </xf>
    <xf numFmtId="0" fontId="43" fillId="0" borderId="10" xfId="0" applyFont="1" applyBorder="1" applyAlignment="1">
      <alignment horizontal="right" indent="1"/>
    </xf>
    <xf numFmtId="14" fontId="5" fillId="0" borderId="0" xfId="0" applyNumberFormat="1" applyFont="1"/>
    <xf numFmtId="0" fontId="4" fillId="0" borderId="0" xfId="40"/>
    <xf numFmtId="0" fontId="78" fillId="0" borderId="0" xfId="40" applyFont="1"/>
    <xf numFmtId="0" fontId="4" fillId="0" borderId="0" xfId="40" applyAlignment="1">
      <alignment horizontal="right"/>
    </xf>
    <xf numFmtId="2" fontId="4" fillId="0" borderId="0" xfId="40" applyNumberFormat="1"/>
    <xf numFmtId="0" fontId="4" fillId="0" borderId="0" xfId="40" applyAlignment="1">
      <alignment horizontal="left" indent="1"/>
    </xf>
    <xf numFmtId="0" fontId="79" fillId="0" borderId="0" xfId="40" applyFont="1"/>
    <xf numFmtId="0" fontId="75" fillId="0" borderId="0" xfId="40" applyFont="1" applyAlignment="1">
      <alignment horizontal="left" indent="1"/>
    </xf>
    <xf numFmtId="0" fontId="58" fillId="0" borderId="0" xfId="40" applyFont="1" applyAlignment="1">
      <alignment horizontal="left" indent="1"/>
    </xf>
    <xf numFmtId="0" fontId="43" fillId="0" borderId="0" xfId="40" applyFont="1"/>
    <xf numFmtId="0" fontId="81" fillId="0" borderId="0" xfId="40" applyFont="1" applyAlignment="1">
      <alignment horizontal="left" indent="1"/>
    </xf>
    <xf numFmtId="2" fontId="9" fillId="0" borderId="0" xfId="40" applyNumberFormat="1" applyFont="1"/>
    <xf numFmtId="0" fontId="2" fillId="0" borderId="0" xfId="40" applyFont="1" applyAlignment="1">
      <alignment horizontal="left" indent="1"/>
    </xf>
    <xf numFmtId="0" fontId="80" fillId="0" borderId="0" xfId="40" applyFont="1"/>
    <xf numFmtId="168" fontId="4" fillId="0" borderId="0" xfId="40" applyNumberFormat="1"/>
    <xf numFmtId="9" fontId="4" fillId="0" borderId="0" xfId="40" applyNumberFormat="1"/>
    <xf numFmtId="0" fontId="4" fillId="0" borderId="0" xfId="40" applyFont="1" applyAlignment="1">
      <alignment horizontal="left" indent="1"/>
    </xf>
    <xf numFmtId="164" fontId="4" fillId="0" borderId="0" xfId="40" applyNumberFormat="1"/>
    <xf numFmtId="164" fontId="9" fillId="0" borderId="0" xfId="40" applyNumberFormat="1" applyFont="1"/>
    <xf numFmtId="0" fontId="5" fillId="0" borderId="0" xfId="40" applyFont="1" applyAlignment="1">
      <alignment horizontal="left" indent="1"/>
    </xf>
    <xf numFmtId="0" fontId="4" fillId="0" borderId="0" xfId="40" applyFont="1" applyAlignment="1">
      <alignment horizontal="right"/>
    </xf>
    <xf numFmtId="0" fontId="4" fillId="0" borderId="0" xfId="40" applyFont="1"/>
    <xf numFmtId="3" fontId="2" fillId="0" borderId="0" xfId="41" applyNumberFormat="1" applyFont="1" applyAlignment="1">
      <alignment horizontal="right"/>
    </xf>
    <xf numFmtId="0" fontId="83" fillId="0" borderId="0" xfId="41" applyFont="1" applyAlignment="1">
      <alignment horizontal="right"/>
    </xf>
    <xf numFmtId="2" fontId="83" fillId="0" borderId="0" xfId="41" applyNumberFormat="1" applyFont="1" applyAlignment="1">
      <alignment horizontal="right"/>
    </xf>
    <xf numFmtId="2" fontId="5" fillId="0" borderId="0" xfId="44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84" fillId="0" borderId="0" xfId="41" applyFont="1" applyAlignment="1">
      <alignment horizontal="left"/>
    </xf>
    <xf numFmtId="2" fontId="84" fillId="0" borderId="0" xfId="41" applyNumberFormat="1" applyFont="1" applyAlignment="1">
      <alignment horizontal="left"/>
    </xf>
    <xf numFmtId="2" fontId="85" fillId="0" borderId="0" xfId="41" applyNumberFormat="1" applyFont="1"/>
    <xf numFmtId="1" fontId="86" fillId="0" borderId="0" xfId="41" applyNumberFormat="1" applyFont="1"/>
    <xf numFmtId="2" fontId="4" fillId="0" borderId="0" xfId="0" applyNumberFormat="1" applyFont="1" applyAlignment="1">
      <alignment wrapText="1"/>
    </xf>
    <xf numFmtId="164" fontId="4" fillId="0" borderId="0" xfId="44" applyNumberFormat="1" applyFont="1" applyFill="1" applyBorder="1" applyAlignment="1">
      <alignment wrapText="1"/>
    </xf>
    <xf numFmtId="2" fontId="72" fillId="0" borderId="0" xfId="40" applyNumberFormat="1" applyFont="1"/>
    <xf numFmtId="0" fontId="72" fillId="0" borderId="0" xfId="40" applyFont="1"/>
    <xf numFmtId="2" fontId="5" fillId="0" borderId="0" xfId="44" applyNumberFormat="1" applyFont="1" applyFill="1" applyBorder="1" applyAlignment="1">
      <alignment horizontal="left"/>
    </xf>
    <xf numFmtId="4" fontId="85" fillId="0" borderId="0" xfId="41" applyNumberFormat="1" applyFont="1"/>
    <xf numFmtId="0" fontId="43" fillId="0" borderId="0" xfId="40" applyFont="1" applyAlignment="1">
      <alignment horizontal="left" indent="1"/>
    </xf>
    <xf numFmtId="14" fontId="48" fillId="0" borderId="0" xfId="0" applyNumberFormat="1" applyFont="1" applyAlignment="1">
      <alignment horizontal="left"/>
    </xf>
    <xf numFmtId="0" fontId="65" fillId="0" borderId="0" xfId="0" applyFont="1" applyAlignment="1">
      <alignment horizontal="right"/>
    </xf>
    <xf numFmtId="0" fontId="87" fillId="0" borderId="0" xfId="0" applyFont="1"/>
    <xf numFmtId="169" fontId="0" fillId="0" borderId="0" xfId="0" applyNumberFormat="1"/>
    <xf numFmtId="0" fontId="43" fillId="0" borderId="0" xfId="0" applyFont="1"/>
    <xf numFmtId="164" fontId="0" fillId="0" borderId="0" xfId="0" applyNumberFormat="1"/>
    <xf numFmtId="0" fontId="75" fillId="0" borderId="0" xfId="0" applyFont="1"/>
    <xf numFmtId="0" fontId="80" fillId="0" borderId="0" xfId="0" applyFont="1"/>
    <xf numFmtId="0" fontId="58" fillId="0" borderId="0" xfId="0" applyFont="1"/>
    <xf numFmtId="0" fontId="48" fillId="0" borderId="0" xfId="0" applyFont="1"/>
    <xf numFmtId="2" fontId="2" fillId="0" borderId="0" xfId="0" applyNumberFormat="1" applyFont="1"/>
    <xf numFmtId="164" fontId="2" fillId="0" borderId="0" xfId="44" applyNumberFormat="1" applyFont="1" applyFill="1" applyBorder="1" applyAlignment="1">
      <alignment wrapText="1"/>
    </xf>
    <xf numFmtId="0" fontId="90" fillId="0" borderId="0" xfId="0" applyFont="1"/>
    <xf numFmtId="2" fontId="75" fillId="0" borderId="0" xfId="0" applyNumberFormat="1" applyFont="1"/>
    <xf numFmtId="164" fontId="2" fillId="0" borderId="0" xfId="0" applyNumberFormat="1" applyFont="1"/>
    <xf numFmtId="164" fontId="91" fillId="0" borderId="0" xfId="44" applyNumberFormat="1" applyFont="1" applyFill="1" applyBorder="1" applyAlignment="1">
      <alignment wrapText="1"/>
    </xf>
    <xf numFmtId="0" fontId="18" fillId="0" borderId="0" xfId="0" applyFont="1"/>
    <xf numFmtId="0" fontId="7" fillId="0" borderId="0" xfId="0" applyFont="1" applyAlignment="1">
      <alignment horizontal="right"/>
    </xf>
    <xf numFmtId="0" fontId="2" fillId="0" borderId="0" xfId="0" applyFont="1" applyBorder="1"/>
    <xf numFmtId="14" fontId="48" fillId="0" borderId="0" xfId="0" applyNumberFormat="1" applyFont="1" applyBorder="1" applyAlignment="1">
      <alignment horizontal="left"/>
    </xf>
    <xf numFmtId="2" fontId="43" fillId="0" borderId="0" xfId="0" applyNumberFormat="1" applyFont="1" applyBorder="1" applyAlignment="1">
      <alignment horizontal="right" indent="1"/>
    </xf>
    <xf numFmtId="2" fontId="4" fillId="0" borderId="0" xfId="41" applyNumberFormat="1" applyFont="1" applyBorder="1"/>
    <xf numFmtId="169" fontId="0" fillId="0" borderId="0" xfId="0" applyNumberFormat="1" applyBorder="1"/>
    <xf numFmtId="2" fontId="88" fillId="0" borderId="0" xfId="0" applyNumberFormat="1" applyFont="1" applyBorder="1" applyAlignment="1">
      <alignment horizontal="right" indent="1"/>
    </xf>
    <xf numFmtId="2" fontId="10" fillId="0" borderId="0" xfId="0" applyNumberFormat="1" applyFont="1" applyBorder="1" applyAlignment="1">
      <alignment horizontal="right" indent="1"/>
    </xf>
    <xf numFmtId="2" fontId="89" fillId="0" borderId="0" xfId="0" applyNumberFormat="1" applyFont="1" applyBorder="1" applyAlignment="1">
      <alignment horizontal="right" indent="1"/>
    </xf>
    <xf numFmtId="0" fontId="0" fillId="0" borderId="0" xfId="0" applyFill="1" applyBorder="1"/>
    <xf numFmtId="2" fontId="75" fillId="0" borderId="0" xfId="0" applyNumberFormat="1" applyFont="1" applyBorder="1" applyAlignment="1">
      <alignment horizontal="right" indent="1"/>
    </xf>
    <xf numFmtId="0" fontId="5" fillId="0" borderId="0" xfId="0" applyFont="1" applyBorder="1"/>
    <xf numFmtId="0" fontId="92" fillId="0" borderId="0" xfId="0" applyFont="1" applyBorder="1"/>
    <xf numFmtId="2" fontId="20" fillId="0" borderId="0" xfId="0" applyNumberFormat="1" applyFont="1"/>
    <xf numFmtId="2" fontId="93" fillId="0" borderId="0" xfId="44" applyNumberFormat="1" applyFont="1" applyFill="1" applyBorder="1" applyAlignment="1">
      <alignment wrapText="1"/>
    </xf>
    <xf numFmtId="2" fontId="94" fillId="0" borderId="0" xfId="0" applyNumberFormat="1" applyFont="1"/>
    <xf numFmtId="2" fontId="95" fillId="0" borderId="0" xfId="0" applyNumberFormat="1" applyFont="1"/>
    <xf numFmtId="0" fontId="60" fillId="0" borderId="0" xfId="0" applyFont="1" applyBorder="1"/>
    <xf numFmtId="169" fontId="7" fillId="0" borderId="0" xfId="0" applyNumberFormat="1" applyFont="1"/>
    <xf numFmtId="2" fontId="43" fillId="0" borderId="0" xfId="0" applyNumberFormat="1" applyFont="1" applyBorder="1" applyAlignment="1">
      <alignment horizontal="right"/>
    </xf>
    <xf numFmtId="2" fontId="89" fillId="0" borderId="0" xfId="0" applyNumberFormat="1" applyFont="1" applyAlignment="1">
      <alignment horizontal="right"/>
    </xf>
    <xf numFmtId="164" fontId="0" fillId="0" borderId="0" xfId="0" applyNumberFormat="1" applyBorder="1"/>
    <xf numFmtId="164" fontId="4" fillId="0" borderId="0" xfId="41" applyNumberFormat="1" applyFont="1" applyBorder="1"/>
    <xf numFmtId="49" fontId="8" fillId="0" borderId="10" xfId="0" applyNumberFormat="1" applyFont="1" applyBorder="1" applyAlignment="1">
      <alignment horizontal="left"/>
    </xf>
    <xf numFmtId="14" fontId="5" fillId="0" borderId="10" xfId="0" applyNumberFormat="1" applyFont="1" applyBorder="1"/>
    <xf numFmtId="0" fontId="8" fillId="0" borderId="10" xfId="0" applyFont="1" applyBorder="1" applyAlignment="1"/>
    <xf numFmtId="0" fontId="0" fillId="0" borderId="10" xfId="0" applyBorder="1" applyAlignment="1"/>
    <xf numFmtId="0" fontId="45" fillId="0" borderId="0" xfId="0" applyFont="1" applyAlignment="1">
      <alignment vertical="top" wrapText="1"/>
    </xf>
    <xf numFmtId="0" fontId="10" fillId="0" borderId="18" xfId="0" applyFont="1" applyBorder="1" applyAlignment="1"/>
    <xf numFmtId="0" fontId="0" fillId="0" borderId="18" xfId="0" applyBorder="1" applyAlignment="1"/>
    <xf numFmtId="0" fontId="12" fillId="0" borderId="10" xfId="0" applyFont="1" applyBorder="1" applyAlignment="1"/>
    <xf numFmtId="0" fontId="12" fillId="0" borderId="18" xfId="0" applyFont="1" applyBorder="1" applyAlignment="1">
      <alignment horizontal="left"/>
    </xf>
    <xf numFmtId="0" fontId="10" fillId="0" borderId="10" xfId="0" applyFont="1" applyBorder="1" applyAlignment="1"/>
    <xf numFmtId="0" fontId="10" fillId="0" borderId="18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18" fillId="0" borderId="15" xfId="0" applyFont="1" applyBorder="1" applyAlignment="1">
      <alignment vertical="top"/>
    </xf>
    <xf numFmtId="0" fontId="0" fillId="0" borderId="11" xfId="0" applyBorder="1" applyAlignment="1"/>
    <xf numFmtId="0" fontId="18" fillId="0" borderId="15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15" fillId="0" borderId="0" xfId="0" applyFont="1" applyAlignment="1"/>
    <xf numFmtId="0" fontId="0" fillId="0" borderId="0" xfId="0" applyAlignment="1"/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1" xfId="0" applyBorder="1" applyAlignment="1">
      <alignment wrapText="1"/>
    </xf>
    <xf numFmtId="0" fontId="74" fillId="0" borderId="10" xfId="0" applyFont="1" applyBorder="1" applyAlignment="1"/>
    <xf numFmtId="0" fontId="17" fillId="0" borderId="10" xfId="0" applyFont="1" applyBorder="1" applyAlignment="1"/>
    <xf numFmtId="0" fontId="1" fillId="0" borderId="0" xfId="0" applyFont="1" applyAlignment="1">
      <alignment vertical="top" wrapText="1"/>
    </xf>
    <xf numFmtId="0" fontId="1" fillId="0" borderId="18" xfId="0" applyFont="1" applyBorder="1" applyAlignment="1"/>
    <xf numFmtId="0" fontId="96" fillId="0" borderId="18" xfId="34" applyBorder="1" applyAlignment="1" applyProtection="1"/>
    <xf numFmtId="0" fontId="23" fillId="0" borderId="19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0" fillId="0" borderId="11" xfId="0" applyBorder="1" applyAlignment="1">
      <alignment vertical="top"/>
    </xf>
    <xf numFmtId="0" fontId="57" fillId="0" borderId="0" xfId="0" applyFont="1" applyAlignment="1">
      <alignment horizontal="left"/>
    </xf>
    <xf numFmtId="0" fontId="4" fillId="0" borderId="0" xfId="0" applyFont="1" applyAlignment="1"/>
    <xf numFmtId="0" fontId="47" fillId="0" borderId="0" xfId="0" applyFont="1" applyAlignment="1"/>
    <xf numFmtId="0" fontId="11" fillId="0" borderId="0" xfId="0" applyFont="1" applyAlignment="1"/>
    <xf numFmtId="0" fontId="50" fillId="0" borderId="0" xfId="0" applyFont="1" applyAlignment="1"/>
    <xf numFmtId="0" fontId="51" fillId="0" borderId="0" xfId="0" applyFont="1" applyAlignment="1"/>
    <xf numFmtId="0" fontId="47" fillId="0" borderId="0" xfId="0" applyFont="1" applyAlignment="1">
      <alignment horizontal="left"/>
    </xf>
    <xf numFmtId="0" fontId="9" fillId="0" borderId="0" xfId="0" applyFont="1" applyAlignmen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2" fontId="19" fillId="0" borderId="0" xfId="0" applyNumberFormat="1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left"/>
    </xf>
    <xf numFmtId="2" fontId="63" fillId="0" borderId="0" xfId="0" applyNumberFormat="1" applyFont="1" applyFill="1" applyBorder="1" applyAlignment="1">
      <alignment horizontal="left"/>
    </xf>
    <xf numFmtId="2" fontId="4" fillId="0" borderId="0" xfId="0" applyNumberFormat="1" applyFont="1" applyFill="1" applyBorder="1" applyAlignment="1">
      <alignment horizontal="left"/>
    </xf>
    <xf numFmtId="0" fontId="9" fillId="0" borderId="0" xfId="40" applyFont="1" applyAlignment="1"/>
    <xf numFmtId="0" fontId="2" fillId="0" borderId="0" xfId="40" applyFont="1" applyAlignment="1"/>
    <xf numFmtId="0" fontId="47" fillId="0" borderId="0" xfId="40" applyFont="1" applyAlignment="1"/>
    <xf numFmtId="0" fontId="76" fillId="0" borderId="0" xfId="40" applyFont="1" applyAlignment="1"/>
    <xf numFmtId="0" fontId="77" fillId="0" borderId="0" xfId="40" applyFont="1" applyAlignment="1"/>
    <xf numFmtId="0" fontId="75" fillId="0" borderId="0" xfId="40" applyFont="1" applyAlignment="1"/>
    <xf numFmtId="0" fontId="43" fillId="0" borderId="0" xfId="40" applyFont="1" applyAlignment="1"/>
    <xf numFmtId="0" fontId="4" fillId="0" borderId="0" xfId="40" applyAlignment="1"/>
    <xf numFmtId="3" fontId="97" fillId="0" borderId="17" xfId="0" applyNumberFormat="1" applyFont="1" applyBorder="1" applyAlignment="1">
      <alignment horizontal="right" indent="1"/>
    </xf>
    <xf numFmtId="0" fontId="97" fillId="0" borderId="14" xfId="0" applyFont="1" applyBorder="1" applyAlignment="1">
      <alignment horizontal="right" indent="1"/>
    </xf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Hyperlink 2" xfId="35"/>
    <cellStyle name="Hyperlink_2009_Texel_Dash750_sail_Spin+Screacher_090919" xfId="36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/>
    <cellStyle name="Normal_BAMA_C-31_TriplePlay_2009_No_Screacher" xfId="41"/>
    <cellStyle name="Normal_Multi23_Sprint750_ThirdPass_090527" xfId="42"/>
    <cellStyle name="Normal_Sheet1" xfId="43"/>
    <cellStyle name="Normal_Sheet1_2009_Texel_Dash750_sail_Spin+Screacher_090919" xfId="44"/>
    <cellStyle name="Note" xfId="45" builtinId="10" customBuiltin="1"/>
    <cellStyle name="Output" xfId="46" builtinId="21" customBuiltin="1"/>
    <cellStyle name="Title" xfId="47" builtinId="15" customBuiltin="1"/>
    <cellStyle name="Total" xfId="48" builtinId="25" customBuiltin="1"/>
    <cellStyle name="Warning Text" xfId="49" builtinId="11" customBuiltin="1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17</xdr:row>
      <xdr:rowOff>104775</xdr:rowOff>
    </xdr:from>
    <xdr:to>
      <xdr:col>1</xdr:col>
      <xdr:colOff>1657350</xdr:colOff>
      <xdr:row>40</xdr:row>
      <xdr:rowOff>133350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3086100"/>
          <a:ext cx="2914650" cy="3752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304800</xdr:colOff>
      <xdr:row>43</xdr:row>
      <xdr:rowOff>57150</xdr:rowOff>
    </xdr:from>
    <xdr:to>
      <xdr:col>8</xdr:col>
      <xdr:colOff>180975</xdr:colOff>
      <xdr:row>64</xdr:row>
      <xdr:rowOff>66675</xdr:rowOff>
    </xdr:to>
    <xdr:pic>
      <xdr:nvPicPr>
        <xdr:cNvPr id="2050" name="Picture 2" descr="The Main Sail Measurement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6349" t="4286" r="15555" b="7619"/>
        <a:stretch>
          <a:fillRect/>
        </a:stretch>
      </xdr:blipFill>
      <xdr:spPr bwMode="auto">
        <a:xfrm>
          <a:off x="5667375" y="7248525"/>
          <a:ext cx="2314575" cy="3486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10</xdr:row>
      <xdr:rowOff>28575</xdr:rowOff>
    </xdr:from>
    <xdr:to>
      <xdr:col>8</xdr:col>
      <xdr:colOff>57150</xdr:colOff>
      <xdr:row>42</xdr:row>
      <xdr:rowOff>95250</xdr:rowOff>
    </xdr:to>
    <xdr:pic>
      <xdr:nvPicPr>
        <xdr:cNvPr id="205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72025" y="1800225"/>
          <a:ext cx="3086100" cy="532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1</xdr:row>
      <xdr:rowOff>57150</xdr:rowOff>
    </xdr:from>
    <xdr:to>
      <xdr:col>15</xdr:col>
      <xdr:colOff>219075</xdr:colOff>
      <xdr:row>55</xdr:row>
      <xdr:rowOff>104775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43375" y="257175"/>
          <a:ext cx="5105400" cy="8963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abSelected="1" workbookViewId="0">
      <selection activeCell="D30" sqref="D30"/>
    </sheetView>
  </sheetViews>
  <sheetFormatPr defaultRowHeight="12.75"/>
  <cols>
    <col min="1" max="1" width="17.7109375" bestFit="1" customWidth="1"/>
    <col min="2" max="2" width="19.28515625" customWidth="1"/>
    <col min="3" max="3" width="5.7109375" customWidth="1"/>
    <col min="4" max="4" width="16.85546875" bestFit="1" customWidth="1"/>
    <col min="5" max="5" width="17.7109375" customWidth="1"/>
    <col min="6" max="6" width="4.85546875" customWidth="1"/>
    <col min="7" max="7" width="19.7109375" bestFit="1" customWidth="1"/>
    <col min="8" max="8" width="17.7109375" customWidth="1"/>
    <col min="9" max="9" width="4.85546875" customWidth="1"/>
    <col min="10" max="10" width="11.85546875" customWidth="1"/>
    <col min="11" max="11" width="10.140625" customWidth="1"/>
    <col min="12" max="12" width="18.85546875" bestFit="1" customWidth="1"/>
    <col min="14" max="14" width="10.85546875" customWidth="1"/>
    <col min="15" max="15" width="2.85546875" customWidth="1"/>
  </cols>
  <sheetData>
    <row r="1" spans="1:13" ht="15">
      <c r="A1" s="67" t="s">
        <v>35</v>
      </c>
      <c r="B1" s="234" t="s">
        <v>270</v>
      </c>
      <c r="C1" s="235"/>
      <c r="D1" s="67" t="s">
        <v>36</v>
      </c>
      <c r="E1" s="232"/>
      <c r="F1" s="6"/>
      <c r="G1" s="6"/>
      <c r="H1" s="233">
        <v>40724</v>
      </c>
    </row>
    <row r="3" spans="1:13" ht="18">
      <c r="A3" s="248" t="s">
        <v>269</v>
      </c>
      <c r="B3" s="249"/>
      <c r="C3" s="249"/>
      <c r="D3" s="249"/>
      <c r="E3" s="249"/>
      <c r="F3" s="249"/>
      <c r="G3" s="249"/>
      <c r="H3" s="249"/>
    </row>
    <row r="4" spans="1:13" s="25" customFormat="1" ht="6.75"/>
    <row r="5" spans="1:13" ht="27.75" customHeight="1">
      <c r="A5" s="255" t="s">
        <v>96</v>
      </c>
      <c r="B5" s="255"/>
      <c r="C5" s="255"/>
      <c r="D5" s="255"/>
      <c r="E5" s="255"/>
      <c r="F5" s="255"/>
      <c r="G5" s="255"/>
      <c r="H5" s="255"/>
      <c r="I5" s="44"/>
      <c r="J5" s="32"/>
    </row>
    <row r="6" spans="1:13" s="25" customFormat="1" ht="6.75"/>
    <row r="7" spans="1:13" ht="15">
      <c r="A7" s="37" t="s">
        <v>2</v>
      </c>
      <c r="B7" s="239" t="s">
        <v>113</v>
      </c>
      <c r="C7" s="234"/>
      <c r="D7" s="234"/>
      <c r="E7" s="37" t="s">
        <v>0</v>
      </c>
      <c r="F7" s="8"/>
      <c r="G7" s="239" t="s">
        <v>268</v>
      </c>
      <c r="H7" s="235"/>
      <c r="I7" s="45"/>
    </row>
    <row r="8" spans="1:13" ht="15">
      <c r="A8" s="37" t="s">
        <v>7</v>
      </c>
      <c r="B8" s="240">
        <v>7</v>
      </c>
      <c r="C8" s="240"/>
      <c r="D8" s="240"/>
      <c r="E8" s="37" t="s">
        <v>1</v>
      </c>
      <c r="F8" s="8"/>
      <c r="G8" s="242"/>
      <c r="H8" s="242"/>
      <c r="I8" s="46"/>
      <c r="J8" s="8"/>
      <c r="K8" s="8"/>
    </row>
    <row r="9" spans="1:13" ht="15">
      <c r="A9" s="37" t="s">
        <v>3</v>
      </c>
      <c r="B9" s="239" t="s">
        <v>114</v>
      </c>
      <c r="C9" s="234"/>
      <c r="D9" s="234"/>
      <c r="E9" s="37" t="s">
        <v>8</v>
      </c>
      <c r="F9" s="8"/>
      <c r="G9" s="237"/>
      <c r="H9" s="256"/>
      <c r="I9" s="45"/>
    </row>
    <row r="10" spans="1:13">
      <c r="A10" s="37" t="s">
        <v>4</v>
      </c>
      <c r="B10" s="241" t="s">
        <v>115</v>
      </c>
      <c r="C10" s="235"/>
      <c r="D10" s="235"/>
      <c r="E10" s="37" t="s">
        <v>9</v>
      </c>
      <c r="F10" s="8"/>
      <c r="G10" s="257"/>
      <c r="H10" s="238"/>
      <c r="I10" s="47"/>
    </row>
    <row r="11" spans="1:13">
      <c r="A11" s="37" t="s">
        <v>39</v>
      </c>
      <c r="B11" s="242">
        <v>2008</v>
      </c>
      <c r="C11" s="243"/>
      <c r="D11" s="243"/>
      <c r="E11" s="37" t="s">
        <v>71</v>
      </c>
      <c r="F11" s="8"/>
      <c r="G11" s="237"/>
      <c r="H11" s="238"/>
      <c r="I11" s="48"/>
      <c r="K11" s="8"/>
    </row>
    <row r="12" spans="1:13">
      <c r="A12" s="37" t="s">
        <v>6</v>
      </c>
      <c r="B12" s="241" t="s">
        <v>116</v>
      </c>
      <c r="C12" s="235"/>
      <c r="D12" s="235"/>
      <c r="E12" s="37" t="s">
        <v>70</v>
      </c>
      <c r="F12" s="8"/>
      <c r="G12" s="237"/>
      <c r="H12" s="238"/>
      <c r="I12" s="48"/>
    </row>
    <row r="13" spans="1:13">
      <c r="A13" s="37" t="s">
        <v>69</v>
      </c>
      <c r="B13" s="242">
        <v>246</v>
      </c>
      <c r="C13" s="243"/>
      <c r="D13" s="243"/>
      <c r="E13" s="37" t="s">
        <v>74</v>
      </c>
      <c r="F13" s="8"/>
      <c r="G13" s="237"/>
      <c r="H13" s="238"/>
      <c r="I13" s="48"/>
    </row>
    <row r="14" spans="1:13" s="25" customFormat="1" ht="6.75"/>
    <row r="15" spans="1:13" ht="15.75">
      <c r="A15" s="38" t="s">
        <v>14</v>
      </c>
      <c r="B15" s="2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ht="15">
      <c r="A16" s="22"/>
      <c r="B16" s="22" t="s">
        <v>10</v>
      </c>
      <c r="C16" s="9" t="s">
        <v>11</v>
      </c>
      <c r="E16" s="23" t="s">
        <v>12</v>
      </c>
      <c r="F16" s="69" t="s">
        <v>38</v>
      </c>
      <c r="G16" s="23" t="s">
        <v>13</v>
      </c>
      <c r="H16" s="10" t="s">
        <v>11</v>
      </c>
      <c r="I16" s="9"/>
      <c r="K16" s="10"/>
    </row>
    <row r="17" spans="1:11" ht="15">
      <c r="A17" s="24" t="s">
        <v>52</v>
      </c>
      <c r="B17" s="39" t="s">
        <v>75</v>
      </c>
      <c r="C17" s="53" t="s">
        <v>11</v>
      </c>
      <c r="E17" s="68" t="s">
        <v>112</v>
      </c>
      <c r="F17" s="9"/>
      <c r="I17" s="9"/>
    </row>
    <row r="18" spans="1:11" ht="15">
      <c r="A18" s="8"/>
      <c r="B18" s="55" t="s">
        <v>76</v>
      </c>
      <c r="C18" s="53" t="s">
        <v>11</v>
      </c>
      <c r="E18" s="39" t="s">
        <v>15</v>
      </c>
      <c r="F18" s="53" t="s">
        <v>11</v>
      </c>
      <c r="G18" s="39" t="s">
        <v>17</v>
      </c>
      <c r="H18" s="69" t="s">
        <v>38</v>
      </c>
      <c r="J18" s="1"/>
      <c r="K18" s="10"/>
    </row>
    <row r="19" spans="1:11" s="3" customFormat="1" ht="15">
      <c r="A19" s="55"/>
      <c r="B19" s="55" t="s">
        <v>77</v>
      </c>
      <c r="C19" s="53" t="s">
        <v>11</v>
      </c>
      <c r="E19" s="39" t="s">
        <v>5</v>
      </c>
      <c r="F19" s="53" t="s">
        <v>11</v>
      </c>
      <c r="G19" s="39" t="s">
        <v>18</v>
      </c>
      <c r="H19" s="54" t="s">
        <v>11</v>
      </c>
    </row>
    <row r="20" spans="1:11" ht="15">
      <c r="B20" s="40" t="s">
        <v>48</v>
      </c>
      <c r="C20" s="53" t="s">
        <v>11</v>
      </c>
      <c r="E20" s="39" t="s">
        <v>16</v>
      </c>
      <c r="F20" s="53" t="s">
        <v>11</v>
      </c>
      <c r="G20" s="39" t="s">
        <v>67</v>
      </c>
      <c r="H20" s="54" t="s">
        <v>11</v>
      </c>
      <c r="J20" s="1"/>
      <c r="K20" s="2"/>
    </row>
    <row r="21" spans="1:11" s="26" customFormat="1" ht="6.75">
      <c r="H21" s="27"/>
      <c r="I21" s="28"/>
    </row>
    <row r="22" spans="1:11" ht="37.5" customHeight="1">
      <c r="A22" s="236" t="s">
        <v>110</v>
      </c>
      <c r="B22" s="236"/>
      <c r="C22" s="236"/>
      <c r="D22" s="236"/>
      <c r="E22" s="236"/>
      <c r="F22" s="236"/>
      <c r="G22" s="236"/>
      <c r="H22" s="236"/>
      <c r="I22" s="31"/>
      <c r="J22" s="31"/>
    </row>
    <row r="23" spans="1:11" s="25" customFormat="1" ht="6.75"/>
    <row r="24" spans="1:11" ht="15">
      <c r="A24" s="244" t="s">
        <v>117</v>
      </c>
      <c r="B24" s="245"/>
      <c r="D24" s="244" t="s">
        <v>118</v>
      </c>
      <c r="E24" s="245"/>
      <c r="G24" s="244" t="s">
        <v>119</v>
      </c>
      <c r="H24" s="261"/>
    </row>
    <row r="25" spans="1:11" ht="14.25">
      <c r="A25" s="17" t="s">
        <v>30</v>
      </c>
      <c r="B25" s="56">
        <v>622</v>
      </c>
      <c r="C25" s="95">
        <f>B25*0.09290304</f>
        <v>57.785690880000004</v>
      </c>
      <c r="D25" s="17" t="s">
        <v>98</v>
      </c>
      <c r="E25" s="57">
        <v>289</v>
      </c>
      <c r="F25" s="95">
        <f>E25*0.09290304</f>
        <v>26.848978560000003</v>
      </c>
      <c r="G25" s="20" t="s">
        <v>26</v>
      </c>
      <c r="H25" s="58" t="s">
        <v>121</v>
      </c>
    </row>
    <row r="26" spans="1:11">
      <c r="A26" s="12" t="s">
        <v>20</v>
      </c>
      <c r="B26" s="57">
        <v>47.4</v>
      </c>
      <c r="C26" s="132">
        <f>B26*0.3048</f>
        <v>14.447520000000001</v>
      </c>
      <c r="D26" s="12" t="s">
        <v>25</v>
      </c>
      <c r="E26" s="57">
        <v>40</v>
      </c>
      <c r="F26" s="132">
        <f>E26*0.3048</f>
        <v>12.192</v>
      </c>
      <c r="G26" s="17" t="s">
        <v>30</v>
      </c>
      <c r="H26" s="57">
        <v>572</v>
      </c>
      <c r="I26" s="95">
        <f>H26*0.09290304</f>
        <v>53.140538880000001</v>
      </c>
    </row>
    <row r="27" spans="1:11">
      <c r="A27" s="12" t="s">
        <v>21</v>
      </c>
      <c r="B27" s="57">
        <v>16</v>
      </c>
      <c r="C27" s="132">
        <f>B27*0.3048</f>
        <v>4.8768000000000002</v>
      </c>
      <c r="D27" s="12" t="s">
        <v>19</v>
      </c>
      <c r="E27" s="57">
        <v>13.5</v>
      </c>
      <c r="F27" s="132">
        <f>E27*0.3048</f>
        <v>4.1147999999999998</v>
      </c>
      <c r="G27" s="12" t="s">
        <v>56</v>
      </c>
      <c r="H27" s="57">
        <v>45</v>
      </c>
      <c r="I27" s="132">
        <f>H27*0.3048</f>
        <v>13.716000000000001</v>
      </c>
    </row>
    <row r="28" spans="1:11">
      <c r="A28" s="12" t="s">
        <v>22</v>
      </c>
      <c r="B28" s="57">
        <v>5.5</v>
      </c>
      <c r="C28" s="132">
        <f>B28*0.3048</f>
        <v>1.6764000000000001</v>
      </c>
      <c r="D28" s="12" t="s">
        <v>99</v>
      </c>
      <c r="E28" s="57">
        <v>36.4</v>
      </c>
      <c r="F28" s="132">
        <f>E28*0.3048</f>
        <v>11.094720000000001</v>
      </c>
      <c r="G28" s="12" t="s">
        <v>19</v>
      </c>
      <c r="H28" s="57">
        <v>25.33</v>
      </c>
      <c r="I28" s="132">
        <f>H28*0.3048</f>
        <v>7.7205839999999997</v>
      </c>
    </row>
    <row r="29" spans="1:11">
      <c r="A29" s="12" t="s">
        <v>23</v>
      </c>
      <c r="B29" s="57"/>
      <c r="D29" s="12" t="s">
        <v>100</v>
      </c>
      <c r="E29" s="57">
        <v>28.8</v>
      </c>
      <c r="F29" s="132">
        <f>E29*0.3048</f>
        <v>8.7782400000000003</v>
      </c>
      <c r="G29" s="12" t="s">
        <v>57</v>
      </c>
      <c r="H29" s="57">
        <v>39.25</v>
      </c>
      <c r="I29" s="132">
        <f>H29*0.3048</f>
        <v>11.9634</v>
      </c>
    </row>
    <row r="30" spans="1:11">
      <c r="A30" s="12" t="s">
        <v>86</v>
      </c>
      <c r="B30" s="57"/>
      <c r="D30" s="12" t="s">
        <v>101</v>
      </c>
      <c r="E30" s="57"/>
      <c r="G30" s="12" t="s">
        <v>58</v>
      </c>
      <c r="H30" s="57">
        <v>0</v>
      </c>
    </row>
    <row r="31" spans="1:11">
      <c r="A31" s="12" t="s">
        <v>24</v>
      </c>
      <c r="B31" s="57"/>
      <c r="D31" s="12" t="s">
        <v>66</v>
      </c>
      <c r="E31" s="57"/>
      <c r="G31" s="12" t="s">
        <v>82</v>
      </c>
      <c r="H31" s="57">
        <v>28.85</v>
      </c>
      <c r="I31" s="132">
        <f>H31*0.3048</f>
        <v>8.7934800000000006</v>
      </c>
    </row>
    <row r="32" spans="1:11">
      <c r="A32" s="12" t="s">
        <v>108</v>
      </c>
      <c r="B32" s="57"/>
      <c r="D32" s="12" t="s">
        <v>102</v>
      </c>
      <c r="E32" s="57"/>
      <c r="G32" s="12"/>
      <c r="H32" s="59"/>
    </row>
    <row r="33" spans="1:10">
      <c r="A33" s="13" t="s">
        <v>87</v>
      </c>
      <c r="B33" s="60" t="s">
        <v>130</v>
      </c>
      <c r="D33" s="13" t="s">
        <v>103</v>
      </c>
      <c r="E33" s="61"/>
      <c r="G33" s="62" t="s">
        <v>104</v>
      </c>
      <c r="H33" s="63">
        <f>IF(H31=0,0,H30/H31)</f>
        <v>0</v>
      </c>
    </row>
    <row r="34" spans="1:10" s="25" customFormat="1" ht="6.75">
      <c r="A34" s="29"/>
      <c r="B34" s="29"/>
      <c r="D34" s="29"/>
      <c r="E34" s="29"/>
      <c r="G34" s="29"/>
      <c r="H34" s="29"/>
      <c r="J34" s="29"/>
    </row>
    <row r="35" spans="1:10" ht="15">
      <c r="A35" s="244" t="s">
        <v>120</v>
      </c>
      <c r="B35" s="245"/>
      <c r="D35" s="244" t="s">
        <v>111</v>
      </c>
      <c r="E35" s="245"/>
      <c r="G35" s="246" t="s">
        <v>109</v>
      </c>
      <c r="H35" s="247"/>
      <c r="J35" s="8"/>
    </row>
    <row r="36" spans="1:10">
      <c r="A36" s="20" t="s">
        <v>26</v>
      </c>
      <c r="B36" s="59" t="s">
        <v>121</v>
      </c>
      <c r="D36" s="20" t="s">
        <v>26</v>
      </c>
      <c r="E36" s="59" t="s">
        <v>122</v>
      </c>
      <c r="G36" s="18" t="s">
        <v>91</v>
      </c>
      <c r="H36" s="286">
        <v>7600</v>
      </c>
      <c r="J36" s="8"/>
    </row>
    <row r="37" spans="1:10">
      <c r="A37" s="17" t="s">
        <v>30</v>
      </c>
      <c r="B37" s="59">
        <v>1270</v>
      </c>
      <c r="C37" s="95">
        <f>B37*0.09290304</f>
        <v>117.9868608</v>
      </c>
      <c r="D37" s="17" t="s">
        <v>30</v>
      </c>
      <c r="E37" s="59"/>
      <c r="G37" s="16" t="s">
        <v>83</v>
      </c>
      <c r="H37" s="59"/>
      <c r="J37" s="8"/>
    </row>
    <row r="38" spans="1:10">
      <c r="A38" s="12" t="s">
        <v>92</v>
      </c>
      <c r="B38" s="57">
        <v>51.75</v>
      </c>
      <c r="C38" s="132">
        <f>B38*0.3048</f>
        <v>15.773400000000001</v>
      </c>
      <c r="D38" s="12" t="s">
        <v>27</v>
      </c>
      <c r="E38" s="57"/>
      <c r="G38" s="41" t="s">
        <v>62</v>
      </c>
      <c r="H38" s="59"/>
      <c r="J38" s="8"/>
    </row>
    <row r="39" spans="1:10">
      <c r="A39" s="12" t="s">
        <v>93</v>
      </c>
      <c r="B39" s="57">
        <v>47</v>
      </c>
      <c r="C39" s="132">
        <f>B39*0.3048</f>
        <v>14.325600000000001</v>
      </c>
      <c r="D39" s="12" t="s">
        <v>28</v>
      </c>
      <c r="E39" s="57"/>
      <c r="G39" s="18" t="s">
        <v>55</v>
      </c>
      <c r="H39" s="286">
        <v>7600</v>
      </c>
      <c r="J39" s="8"/>
    </row>
    <row r="40" spans="1:10">
      <c r="A40" s="12" t="s">
        <v>29</v>
      </c>
      <c r="B40" s="57">
        <v>30.2</v>
      </c>
      <c r="C40" s="132">
        <f>B40*0.3048</f>
        <v>9.2049599999999998</v>
      </c>
      <c r="D40" s="12" t="s">
        <v>79</v>
      </c>
      <c r="E40" s="57"/>
      <c r="G40" s="18" t="s">
        <v>63</v>
      </c>
      <c r="H40" s="59"/>
      <c r="J40" s="8"/>
    </row>
    <row r="41" spans="1:10">
      <c r="A41" s="12" t="s">
        <v>78</v>
      </c>
      <c r="B41" s="57">
        <v>33.5</v>
      </c>
      <c r="C41" s="132">
        <f>B41*0.3048</f>
        <v>10.210800000000001</v>
      </c>
      <c r="D41" s="12"/>
      <c r="E41" s="57"/>
      <c r="G41" s="18" t="s">
        <v>61</v>
      </c>
      <c r="H41" s="59"/>
      <c r="J41" s="8"/>
    </row>
    <row r="42" spans="1:10">
      <c r="A42" s="12"/>
      <c r="B42" s="59"/>
      <c r="D42" s="12"/>
      <c r="E42" s="59"/>
      <c r="G42" s="18"/>
      <c r="H42" s="59"/>
      <c r="J42" s="8"/>
    </row>
    <row r="43" spans="1:10">
      <c r="A43" s="62" t="s">
        <v>59</v>
      </c>
      <c r="B43" s="63">
        <f>IF(B41=0,0,B40/B41)</f>
        <v>0.90149253731343282</v>
      </c>
      <c r="D43" s="62" t="s">
        <v>59</v>
      </c>
      <c r="E43" s="63">
        <f>IF(E41=0,0,E40/E41)</f>
        <v>0</v>
      </c>
      <c r="G43" s="19" t="s">
        <v>60</v>
      </c>
      <c r="H43" s="287">
        <f>H42+H39</f>
        <v>7600</v>
      </c>
      <c r="J43" s="8"/>
    </row>
    <row r="44" spans="1:10" s="25" customFormat="1" ht="6.75">
      <c r="A44" s="29"/>
      <c r="B44" s="29"/>
      <c r="D44" s="29"/>
      <c r="E44" s="29"/>
    </row>
    <row r="45" spans="1:10" ht="24" customHeight="1">
      <c r="A45" s="236" t="s">
        <v>97</v>
      </c>
      <c r="B45" s="236"/>
      <c r="C45" s="236"/>
      <c r="D45" s="236"/>
      <c r="E45" s="236"/>
      <c r="F45" s="236"/>
      <c r="G45" s="236"/>
      <c r="H45" s="236"/>
      <c r="I45" s="30"/>
      <c r="J45" s="30"/>
    </row>
    <row r="46" spans="1:10" s="25" customFormat="1" ht="6.75"/>
    <row r="47" spans="1:10" ht="15" customHeight="1">
      <c r="A47" s="244" t="s">
        <v>40</v>
      </c>
      <c r="B47" s="261"/>
      <c r="D47" s="244" t="s">
        <v>72</v>
      </c>
      <c r="E47" s="261"/>
      <c r="G47" s="244" t="s">
        <v>88</v>
      </c>
      <c r="H47" s="245"/>
    </row>
    <row r="48" spans="1:10">
      <c r="A48" s="18" t="s">
        <v>41</v>
      </c>
      <c r="B48" s="57" t="s">
        <v>124</v>
      </c>
      <c r="D48" s="18" t="s">
        <v>45</v>
      </c>
      <c r="E48" s="59" t="s">
        <v>121</v>
      </c>
      <c r="G48" s="12" t="s">
        <v>94</v>
      </c>
      <c r="H48" s="59" t="s">
        <v>122</v>
      </c>
    </row>
    <row r="49" spans="1:8">
      <c r="A49" s="18" t="s">
        <v>42</v>
      </c>
      <c r="B49" s="57" t="s">
        <v>125</v>
      </c>
      <c r="D49" s="18" t="s">
        <v>46</v>
      </c>
      <c r="E49" s="59" t="s">
        <v>122</v>
      </c>
      <c r="G49" s="12" t="s">
        <v>95</v>
      </c>
      <c r="H49" s="59" t="s">
        <v>122</v>
      </c>
    </row>
    <row r="50" spans="1:8">
      <c r="A50" s="18" t="s">
        <v>43</v>
      </c>
      <c r="B50" s="57" t="s">
        <v>126</v>
      </c>
      <c r="D50" s="18" t="s">
        <v>47</v>
      </c>
      <c r="E50" s="59" t="s">
        <v>122</v>
      </c>
      <c r="G50" s="12" t="s">
        <v>105</v>
      </c>
      <c r="H50" s="59" t="s">
        <v>127</v>
      </c>
    </row>
    <row r="51" spans="1:8">
      <c r="A51" s="18" t="s">
        <v>44</v>
      </c>
      <c r="B51" s="57" t="s">
        <v>127</v>
      </c>
      <c r="D51" s="18" t="s">
        <v>49</v>
      </c>
      <c r="E51" s="59" t="s">
        <v>122</v>
      </c>
      <c r="G51" s="20" t="s">
        <v>89</v>
      </c>
      <c r="H51" s="59" t="s">
        <v>128</v>
      </c>
    </row>
    <row r="52" spans="1:8">
      <c r="A52" s="18" t="s">
        <v>54</v>
      </c>
      <c r="B52" s="57"/>
      <c r="D52" s="18"/>
      <c r="E52" s="59"/>
      <c r="G52" s="20"/>
      <c r="H52" s="59"/>
    </row>
    <row r="53" spans="1:8">
      <c r="A53" s="18" t="s">
        <v>53</v>
      </c>
      <c r="B53" s="57"/>
      <c r="D53" s="18" t="s">
        <v>50</v>
      </c>
      <c r="E53" s="59" t="s">
        <v>122</v>
      </c>
      <c r="G53" s="20" t="s">
        <v>90</v>
      </c>
      <c r="H53" s="59" t="s">
        <v>129</v>
      </c>
    </row>
    <row r="54" spans="1:8">
      <c r="A54" s="13"/>
      <c r="B54" s="52"/>
      <c r="D54" s="13"/>
      <c r="E54" s="51"/>
      <c r="G54" s="13"/>
      <c r="H54" s="51"/>
    </row>
    <row r="55" spans="1:8" s="25" customFormat="1" ht="6.75"/>
    <row r="56" spans="1:8">
      <c r="A56" s="15" t="s">
        <v>68</v>
      </c>
      <c r="B56" s="11"/>
      <c r="D56" s="15" t="s">
        <v>73</v>
      </c>
      <c r="E56" s="33"/>
      <c r="F56" s="33"/>
      <c r="G56" s="33"/>
      <c r="H56" s="11"/>
    </row>
    <row r="57" spans="1:8">
      <c r="A57" s="18" t="s">
        <v>106</v>
      </c>
      <c r="B57" s="64"/>
      <c r="D57" s="18" t="s">
        <v>64</v>
      </c>
      <c r="E57" s="152" t="s">
        <v>186</v>
      </c>
      <c r="F57" s="8"/>
      <c r="G57" s="34" t="s">
        <v>65</v>
      </c>
      <c r="H57" s="64"/>
    </row>
    <row r="58" spans="1:8">
      <c r="A58" s="19" t="s">
        <v>107</v>
      </c>
      <c r="B58" s="65" t="s">
        <v>123</v>
      </c>
      <c r="D58" s="19" t="s">
        <v>80</v>
      </c>
      <c r="E58" s="153" t="s">
        <v>186</v>
      </c>
      <c r="F58" s="6"/>
      <c r="G58" s="7" t="s">
        <v>81</v>
      </c>
      <c r="H58" s="65"/>
    </row>
    <row r="59" spans="1:8" s="25" customFormat="1" ht="6.75"/>
    <row r="60" spans="1:8" ht="15.75">
      <c r="A60" s="5" t="s">
        <v>31</v>
      </c>
      <c r="D60" t="s">
        <v>51</v>
      </c>
    </row>
    <row r="61" spans="1:8" ht="35.25" customHeight="1">
      <c r="A61" s="258" t="s">
        <v>271</v>
      </c>
      <c r="B61" s="259"/>
      <c r="C61" s="259"/>
      <c r="D61" s="259"/>
      <c r="E61" s="259"/>
      <c r="F61" s="259"/>
      <c r="G61" s="259"/>
      <c r="H61" s="260"/>
    </row>
    <row r="62" spans="1:8" s="25" customFormat="1" ht="6.75"/>
    <row r="63" spans="1:8" ht="26.25" customHeight="1">
      <c r="A63" s="250" t="s">
        <v>84</v>
      </c>
      <c r="B63" s="251"/>
      <c r="C63" s="251"/>
      <c r="D63" s="251"/>
      <c r="E63" s="251"/>
      <c r="F63" s="251"/>
      <c r="G63" s="251"/>
      <c r="H63" s="252"/>
    </row>
    <row r="64" spans="1:8" s="4" customFormat="1" ht="11.25">
      <c r="A64" s="16" t="s">
        <v>85</v>
      </c>
      <c r="B64" s="36"/>
      <c r="C64" s="36"/>
      <c r="D64" s="36"/>
      <c r="E64" s="36"/>
      <c r="F64" s="36"/>
      <c r="G64" s="36"/>
      <c r="H64" s="35"/>
    </row>
    <row r="65" spans="1:8" ht="14.25">
      <c r="A65" s="13" t="s">
        <v>32</v>
      </c>
      <c r="B65" s="253" t="s">
        <v>185</v>
      </c>
      <c r="C65" s="254"/>
      <c r="D65" s="254"/>
      <c r="E65" s="254"/>
      <c r="F65" s="42"/>
      <c r="G65" s="43" t="s">
        <v>33</v>
      </c>
      <c r="H65" s="66">
        <v>40724</v>
      </c>
    </row>
    <row r="66" spans="1:8" s="25" customFormat="1" ht="6.75"/>
    <row r="67" spans="1:8">
      <c r="A67" s="49" t="s">
        <v>34</v>
      </c>
      <c r="B67" s="33"/>
      <c r="C67" s="33"/>
      <c r="D67" s="33"/>
      <c r="E67" s="33"/>
      <c r="F67" s="33"/>
      <c r="G67" s="33"/>
      <c r="H67" s="11"/>
    </row>
    <row r="68" spans="1:8">
      <c r="A68" s="50" t="s">
        <v>35</v>
      </c>
      <c r="B68" s="6"/>
      <c r="C68" s="6"/>
      <c r="D68" s="67" t="s">
        <v>36</v>
      </c>
      <c r="E68" s="6"/>
      <c r="F68" s="6"/>
      <c r="G68" s="6" t="s">
        <v>37</v>
      </c>
      <c r="H68" s="14"/>
    </row>
  </sheetData>
  <mergeCells count="31">
    <mergeCell ref="A63:H63"/>
    <mergeCell ref="B65:E65"/>
    <mergeCell ref="A5:H5"/>
    <mergeCell ref="G7:H7"/>
    <mergeCell ref="G8:H8"/>
    <mergeCell ref="G9:H9"/>
    <mergeCell ref="G10:H10"/>
    <mergeCell ref="G11:H11"/>
    <mergeCell ref="G12:H12"/>
    <mergeCell ref="A61:H61"/>
    <mergeCell ref="D24:E24"/>
    <mergeCell ref="G24:H24"/>
    <mergeCell ref="A24:B24"/>
    <mergeCell ref="A47:B47"/>
    <mergeCell ref="D47:E47"/>
    <mergeCell ref="G47:H47"/>
    <mergeCell ref="G35:H35"/>
    <mergeCell ref="A45:H45"/>
    <mergeCell ref="D35:E35"/>
    <mergeCell ref="A35:B35"/>
    <mergeCell ref="B1:C1"/>
    <mergeCell ref="A22:H22"/>
    <mergeCell ref="G13:H13"/>
    <mergeCell ref="B7:D7"/>
    <mergeCell ref="B8:D8"/>
    <mergeCell ref="B9:D9"/>
    <mergeCell ref="B10:D10"/>
    <mergeCell ref="B13:D13"/>
    <mergeCell ref="B11:D11"/>
    <mergeCell ref="B12:D12"/>
    <mergeCell ref="A3:H3"/>
  </mergeCells>
  <phoneticPr fontId="7" type="noConversion"/>
  <printOptions horizontalCentered="1" verticalCentered="1"/>
  <pageMargins left="0.35433070866141736" right="0.35433070866141736" top="0.39370078740157483" bottom="0.39370078740157483" header="0.31496062992125984" footer="0.31496062992125984"/>
  <pageSetup scale="81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workbookViewId="0">
      <selection activeCell="D1" sqref="D1:G2"/>
    </sheetView>
  </sheetViews>
  <sheetFormatPr defaultRowHeight="12.75"/>
  <cols>
    <col min="1" max="1" width="18.7109375" customWidth="1"/>
    <col min="2" max="2" width="8.140625" customWidth="1"/>
    <col min="3" max="3" width="42.28515625" customWidth="1"/>
    <col min="4" max="4" width="7.5703125" customWidth="1"/>
    <col min="5" max="5" width="7.28515625" customWidth="1"/>
    <col min="6" max="6" width="8.42578125" customWidth="1"/>
    <col min="7" max="7" width="10.7109375" customWidth="1"/>
    <col min="8" max="8" width="11.28515625" bestFit="1" customWidth="1"/>
    <col min="9" max="9" width="10.7109375" bestFit="1" customWidth="1"/>
    <col min="10" max="10" width="10.42578125" bestFit="1" customWidth="1"/>
  </cols>
  <sheetData>
    <row r="1" spans="1:10" ht="15.75">
      <c r="A1" s="264"/>
      <c r="B1" s="265"/>
      <c r="C1" s="265"/>
      <c r="D1" s="268" t="s">
        <v>180</v>
      </c>
      <c r="E1" s="268"/>
      <c r="F1" s="268"/>
      <c r="G1" s="269"/>
      <c r="H1" s="70"/>
      <c r="I1" s="71"/>
    </row>
    <row r="2" spans="1:10" ht="18">
      <c r="A2" s="266" t="s">
        <v>131</v>
      </c>
      <c r="B2" s="267"/>
      <c r="C2" s="267"/>
      <c r="D2" s="268" t="s">
        <v>113</v>
      </c>
      <c r="E2" s="268"/>
      <c r="F2" s="268"/>
      <c r="G2" s="269"/>
      <c r="H2" s="72"/>
      <c r="I2" s="73"/>
    </row>
    <row r="3" spans="1:10">
      <c r="A3" s="74"/>
      <c r="D3" s="81" t="s">
        <v>183</v>
      </c>
      <c r="H3" s="75"/>
      <c r="I3" s="71"/>
    </row>
    <row r="4" spans="1:10">
      <c r="A4" s="74"/>
      <c r="D4" s="154">
        <v>40724</v>
      </c>
      <c r="H4" s="75"/>
      <c r="I4" s="71"/>
    </row>
    <row r="5" spans="1:10" ht="39" customHeight="1">
      <c r="A5" s="270" t="s">
        <v>132</v>
      </c>
      <c r="B5" s="271"/>
      <c r="C5" s="271"/>
      <c r="D5" s="271"/>
      <c r="E5" s="271"/>
      <c r="F5" s="271"/>
      <c r="G5" s="271"/>
      <c r="H5" s="75"/>
      <c r="I5" s="71"/>
    </row>
    <row r="6" spans="1:10" s="26" customFormat="1" ht="6.75">
      <c r="A6" s="76"/>
      <c r="D6" s="77"/>
      <c r="E6" s="77"/>
      <c r="F6" s="77"/>
      <c r="G6" s="78"/>
      <c r="H6" s="79"/>
      <c r="I6" s="80"/>
    </row>
    <row r="7" spans="1:10">
      <c r="A7" s="81" t="s">
        <v>133</v>
      </c>
      <c r="B7">
        <v>0.62</v>
      </c>
      <c r="C7" s="82" t="s">
        <v>184</v>
      </c>
      <c r="D7" s="262"/>
      <c r="E7" s="262"/>
      <c r="F7" s="262"/>
      <c r="G7" s="263"/>
      <c r="H7" s="83"/>
      <c r="I7" s="84"/>
      <c r="J7" s="85"/>
    </row>
    <row r="8" spans="1:10">
      <c r="D8" s="86"/>
      <c r="E8" s="86"/>
      <c r="F8" s="86"/>
      <c r="G8" s="176" t="s">
        <v>182</v>
      </c>
      <c r="H8" s="87"/>
      <c r="I8" s="87"/>
      <c r="J8" s="85"/>
    </row>
    <row r="9" spans="1:10">
      <c r="B9" s="88"/>
      <c r="C9" s="82"/>
      <c r="D9" s="89"/>
      <c r="E9" s="90"/>
      <c r="F9" s="181" t="s">
        <v>134</v>
      </c>
      <c r="G9" s="177" t="s">
        <v>135</v>
      </c>
      <c r="J9" s="85"/>
    </row>
    <row r="10" spans="1:10">
      <c r="A10" s="74" t="s">
        <v>136</v>
      </c>
      <c r="B10" s="151">
        <f>B11*B12/2</f>
        <v>35.228832768000004</v>
      </c>
      <c r="C10" s="92" t="s">
        <v>137</v>
      </c>
      <c r="D10" s="91" t="s">
        <v>138</v>
      </c>
      <c r="E10" s="93" t="s">
        <v>139</v>
      </c>
      <c r="F10" s="184">
        <v>622</v>
      </c>
      <c r="G10" s="94">
        <f>F10*0.09290304</f>
        <v>57.785690880000004</v>
      </c>
      <c r="J10" s="85"/>
    </row>
    <row r="11" spans="1:10">
      <c r="A11" s="81" t="s">
        <v>140</v>
      </c>
      <c r="B11" s="95">
        <f t="shared" ref="B11:B18" si="0">E11</f>
        <v>14.447520000000001</v>
      </c>
      <c r="C11" s="92" t="s">
        <v>181</v>
      </c>
      <c r="D11" s="96">
        <v>47.4</v>
      </c>
      <c r="E11" s="148">
        <f>D11*0.3048</f>
        <v>14.447520000000001</v>
      </c>
      <c r="F11" s="97"/>
      <c r="G11" s="98"/>
      <c r="H11" s="99"/>
      <c r="I11" s="99"/>
      <c r="J11" s="100"/>
    </row>
    <row r="12" spans="1:10">
      <c r="A12" s="81" t="s">
        <v>141</v>
      </c>
      <c r="B12" s="95">
        <f t="shared" si="0"/>
        <v>4.8768000000000002</v>
      </c>
      <c r="C12" s="92" t="s">
        <v>181</v>
      </c>
      <c r="D12" s="96">
        <v>16</v>
      </c>
      <c r="E12" s="148">
        <f>D12*0.3048</f>
        <v>4.8768000000000002</v>
      </c>
      <c r="F12" s="274"/>
      <c r="G12" s="274"/>
      <c r="H12" s="101"/>
      <c r="I12" s="101"/>
      <c r="J12" s="102"/>
    </row>
    <row r="13" spans="1:10">
      <c r="A13" s="103" t="s">
        <v>22</v>
      </c>
      <c r="B13" s="95">
        <f t="shared" si="0"/>
        <v>1.6764000000000001</v>
      </c>
      <c r="C13" s="92" t="s">
        <v>181</v>
      </c>
      <c r="D13" s="96">
        <v>5.5</v>
      </c>
      <c r="E13" s="148">
        <f>D13*0.3048</f>
        <v>1.6764000000000001</v>
      </c>
      <c r="F13" s="275"/>
      <c r="G13" s="275"/>
      <c r="H13" s="101"/>
      <c r="I13" s="101"/>
      <c r="J13" s="102"/>
    </row>
    <row r="14" spans="1:10">
      <c r="A14" s="103" t="s">
        <v>23</v>
      </c>
      <c r="B14" s="95">
        <f t="shared" si="0"/>
        <v>0</v>
      </c>
      <c r="C14" s="92" t="s">
        <v>142</v>
      </c>
      <c r="D14" s="96">
        <f>E14*3.280839</f>
        <v>0</v>
      </c>
      <c r="E14" s="149">
        <v>0</v>
      </c>
      <c r="F14" s="275"/>
      <c r="G14" s="275"/>
      <c r="H14" s="101"/>
      <c r="I14" s="101"/>
      <c r="J14" s="102"/>
    </row>
    <row r="15" spans="1:10">
      <c r="A15" s="103" t="s">
        <v>86</v>
      </c>
      <c r="B15" s="95">
        <f t="shared" si="0"/>
        <v>0</v>
      </c>
      <c r="C15" s="92" t="s">
        <v>143</v>
      </c>
      <c r="D15" s="96">
        <f>E15*3.280839</f>
        <v>0</v>
      </c>
      <c r="E15" s="149">
        <v>0</v>
      </c>
      <c r="H15" s="105"/>
      <c r="I15" s="106"/>
      <c r="J15" s="85"/>
    </row>
    <row r="16" spans="1:10">
      <c r="A16" s="81" t="s">
        <v>24</v>
      </c>
      <c r="B16" s="95">
        <f t="shared" si="0"/>
        <v>0</v>
      </c>
      <c r="C16" s="92" t="s">
        <v>144</v>
      </c>
      <c r="D16" s="96">
        <f>E16*3.280839</f>
        <v>0</v>
      </c>
      <c r="E16" s="150">
        <v>0</v>
      </c>
      <c r="H16" s="83"/>
      <c r="I16" s="84"/>
      <c r="J16" s="85"/>
    </row>
    <row r="17" spans="1:10">
      <c r="A17" s="81" t="s">
        <v>145</v>
      </c>
      <c r="B17" s="95">
        <f t="shared" si="0"/>
        <v>0</v>
      </c>
      <c r="C17" s="92" t="s">
        <v>146</v>
      </c>
      <c r="D17" s="96">
        <f>E17*3.280839</f>
        <v>0</v>
      </c>
      <c r="E17" s="150">
        <v>0</v>
      </c>
      <c r="H17" s="107"/>
      <c r="I17" s="108"/>
      <c r="J17" s="85"/>
    </row>
    <row r="18" spans="1:10">
      <c r="A18" s="81" t="s">
        <v>147</v>
      </c>
      <c r="B18" s="95">
        <f t="shared" si="0"/>
        <v>15.248410159436295</v>
      </c>
      <c r="C18" s="92"/>
      <c r="D18" s="96">
        <v>49.25</v>
      </c>
      <c r="E18" s="104">
        <f>((E11^2)+(E12^2))^0.5</f>
        <v>15.248410159436295</v>
      </c>
      <c r="F18" s="276"/>
      <c r="G18" s="276"/>
      <c r="H18" s="109"/>
      <c r="I18" s="110"/>
      <c r="J18" s="85"/>
    </row>
    <row r="19" spans="1:10" s="111" customFormat="1" ht="8.25">
      <c r="F19" s="112"/>
      <c r="G19" s="112"/>
      <c r="H19" s="113"/>
      <c r="I19" s="114"/>
      <c r="J19" s="115"/>
    </row>
    <row r="20" spans="1:10" s="73" customFormat="1" ht="11.25">
      <c r="B20" s="95"/>
      <c r="C20" s="92"/>
      <c r="D20" s="116" t="s">
        <v>148</v>
      </c>
      <c r="E20" s="116" t="s">
        <v>149</v>
      </c>
      <c r="F20" s="117"/>
      <c r="G20" s="117"/>
      <c r="H20" s="118"/>
      <c r="I20" s="110"/>
      <c r="J20" s="119"/>
    </row>
    <row r="21" spans="1:10">
      <c r="A21" s="120"/>
      <c r="B21" s="120"/>
      <c r="C21" s="120"/>
      <c r="D21" s="225">
        <f>(D23*D24/2)+(D25*D28*2/3)+(2/3*D23*D27)+(2/3*D26*D29)</f>
        <v>288.99999999999994</v>
      </c>
      <c r="E21" s="225">
        <f>(E23*E24/2)+(E25*E28*2/3)+(2/3*E23*E27)+(2/3*E26*E29)</f>
        <v>26.848978559999995</v>
      </c>
      <c r="F21" s="181" t="s">
        <v>134</v>
      </c>
      <c r="G21" s="177" t="s">
        <v>135</v>
      </c>
      <c r="H21" s="110"/>
      <c r="I21" s="110"/>
      <c r="J21" s="85"/>
    </row>
    <row r="22" spans="1:10">
      <c r="A22" s="74" t="s">
        <v>237</v>
      </c>
      <c r="B22" s="122">
        <f>B23*B24/2</f>
        <v>25.083820799999998</v>
      </c>
      <c r="C22" s="92" t="s">
        <v>150</v>
      </c>
      <c r="D22" s="91" t="s">
        <v>138</v>
      </c>
      <c r="E22" s="93" t="s">
        <v>139</v>
      </c>
      <c r="F22" s="184">
        <v>289</v>
      </c>
      <c r="G22" s="94">
        <f>F22*0.09290304</f>
        <v>26.848978560000003</v>
      </c>
      <c r="H22" s="123"/>
      <c r="I22" s="124"/>
      <c r="J22" s="125"/>
    </row>
    <row r="23" spans="1:10" ht="15">
      <c r="A23" s="8" t="s">
        <v>151</v>
      </c>
      <c r="B23" s="95">
        <f t="shared" ref="B23:B29" si="1">E23</f>
        <v>12.192</v>
      </c>
      <c r="C23" s="92" t="s">
        <v>152</v>
      </c>
      <c r="D23" s="121">
        <v>40</v>
      </c>
      <c r="E23" s="132">
        <f t="shared" ref="E23:E29" si="2">D23*0.3048</f>
        <v>12.192</v>
      </c>
      <c r="F23" s="179"/>
      <c r="G23" s="180"/>
      <c r="H23" s="126"/>
      <c r="I23" s="127"/>
      <c r="J23" s="125">
        <f>D23*D24*0.5</f>
        <v>270</v>
      </c>
    </row>
    <row r="24" spans="1:10" ht="15">
      <c r="A24" s="8" t="s">
        <v>153</v>
      </c>
      <c r="B24" s="95">
        <f t="shared" si="1"/>
        <v>4.1147999999999998</v>
      </c>
      <c r="C24" s="92" t="s">
        <v>154</v>
      </c>
      <c r="D24" s="121">
        <v>13.5</v>
      </c>
      <c r="E24" s="132">
        <f t="shared" si="2"/>
        <v>4.1147999999999998</v>
      </c>
      <c r="F24" s="180"/>
      <c r="G24" s="180"/>
      <c r="H24" s="126"/>
      <c r="I24" s="85"/>
      <c r="J24" s="85"/>
    </row>
    <row r="25" spans="1:10" ht="15">
      <c r="A25" s="8" t="s">
        <v>155</v>
      </c>
      <c r="B25" s="128">
        <f t="shared" si="1"/>
        <v>11.094720000000001</v>
      </c>
      <c r="C25" s="73"/>
      <c r="D25" s="121">
        <v>36.4</v>
      </c>
      <c r="E25" s="132">
        <f t="shared" si="2"/>
        <v>11.094720000000001</v>
      </c>
      <c r="F25" s="129"/>
      <c r="G25" s="102"/>
      <c r="H25" s="126"/>
      <c r="I25" s="85"/>
      <c r="J25" s="85"/>
    </row>
    <row r="26" spans="1:10" ht="15">
      <c r="A26" s="8" t="s">
        <v>156</v>
      </c>
      <c r="B26" s="224">
        <f t="shared" si="1"/>
        <v>4.5110400000000004</v>
      </c>
      <c r="C26" s="73"/>
      <c r="D26" s="222">
        <v>14.8</v>
      </c>
      <c r="E26" s="223">
        <f t="shared" si="2"/>
        <v>4.5110400000000004</v>
      </c>
      <c r="F26" s="189" t="s">
        <v>241</v>
      </c>
      <c r="G26" s="102"/>
      <c r="H26" s="126"/>
      <c r="I26" s="85"/>
      <c r="J26" s="85"/>
    </row>
    <row r="27" spans="1:10" ht="15">
      <c r="A27" s="8" t="s">
        <v>157</v>
      </c>
      <c r="B27" s="224">
        <f t="shared" si="1"/>
        <v>-6.0960000000000007E-3</v>
      </c>
      <c r="C27" s="73"/>
      <c r="D27" s="222">
        <v>-0.02</v>
      </c>
      <c r="E27" s="223">
        <f t="shared" si="2"/>
        <v>-6.0960000000000007E-3</v>
      </c>
      <c r="F27" s="129"/>
      <c r="G27" s="102"/>
      <c r="H27" s="126"/>
      <c r="I27" s="85"/>
      <c r="J27" s="85"/>
    </row>
    <row r="28" spans="1:10">
      <c r="A28" s="8" t="s">
        <v>158</v>
      </c>
      <c r="B28" s="224">
        <f t="shared" si="1"/>
        <v>0.14207252747252713</v>
      </c>
      <c r="C28" s="73"/>
      <c r="D28" s="222">
        <v>0.46611721611721502</v>
      </c>
      <c r="E28" s="223">
        <f t="shared" si="2"/>
        <v>0.14207252747252713</v>
      </c>
      <c r="F28" s="129"/>
      <c r="G28" s="102"/>
      <c r="H28" s="130"/>
      <c r="I28" s="85"/>
      <c r="J28" s="85"/>
    </row>
    <row r="29" spans="1:10">
      <c r="A29" s="8" t="s">
        <v>159</v>
      </c>
      <c r="B29" s="224">
        <f t="shared" si="1"/>
        <v>0.254</v>
      </c>
      <c r="C29" s="73"/>
      <c r="D29" s="222">
        <f>10/12</f>
        <v>0.83333333333333337</v>
      </c>
      <c r="E29" s="223">
        <f t="shared" si="2"/>
        <v>0.254</v>
      </c>
      <c r="F29" s="129"/>
      <c r="G29" s="102"/>
      <c r="H29" s="130"/>
      <c r="I29" s="85"/>
      <c r="J29" s="85"/>
    </row>
    <row r="30" spans="1:10">
      <c r="A30" s="81" t="s">
        <v>160</v>
      </c>
      <c r="B30" s="128">
        <f>B23*0.94</f>
        <v>11.460479999999999</v>
      </c>
      <c r="C30" s="131" t="s">
        <v>161</v>
      </c>
      <c r="D30" s="129"/>
      <c r="E30" s="132"/>
      <c r="F30" s="129"/>
      <c r="G30" s="102"/>
      <c r="H30" s="130"/>
      <c r="I30" s="85"/>
      <c r="J30" s="85"/>
    </row>
    <row r="31" spans="1:10">
      <c r="A31" s="120"/>
      <c r="B31" s="120"/>
      <c r="C31" s="120"/>
      <c r="D31" s="89"/>
      <c r="E31" s="133"/>
      <c r="F31" s="182" t="s">
        <v>134</v>
      </c>
      <c r="G31" s="178" t="s">
        <v>135</v>
      </c>
      <c r="H31" s="110"/>
      <c r="I31" s="110"/>
      <c r="J31" s="85"/>
    </row>
    <row r="32" spans="1:10">
      <c r="A32" s="74" t="s">
        <v>162</v>
      </c>
      <c r="B32" s="122">
        <f>B33*B34*0.5</f>
        <v>52.947765072000003</v>
      </c>
      <c r="C32" s="92"/>
      <c r="D32" s="91" t="s">
        <v>138</v>
      </c>
      <c r="E32" s="93" t="s">
        <v>139</v>
      </c>
      <c r="F32" s="183">
        <v>572</v>
      </c>
      <c r="G32" s="94">
        <f>0.09290304*F32</f>
        <v>53.140538880000001</v>
      </c>
      <c r="H32" s="135"/>
      <c r="I32" s="135"/>
      <c r="J32" s="85"/>
    </row>
    <row r="33" spans="1:10" ht="15">
      <c r="A33" s="81" t="s">
        <v>163</v>
      </c>
      <c r="B33" s="136">
        <f>E33</f>
        <v>13.716000000000001</v>
      </c>
      <c r="C33" s="131"/>
      <c r="D33" s="185">
        <v>45</v>
      </c>
      <c r="E33" s="186">
        <f>D33*0.3048</f>
        <v>13.716000000000001</v>
      </c>
      <c r="F33" s="102"/>
      <c r="G33" s="137"/>
      <c r="H33" s="126"/>
      <c r="I33" s="138"/>
      <c r="J33" s="85"/>
    </row>
    <row r="34" spans="1:10" ht="15">
      <c r="A34" s="81" t="s">
        <v>164</v>
      </c>
      <c r="B34" s="136">
        <f>E34</f>
        <v>7.7205839999999997</v>
      </c>
      <c r="C34" s="131"/>
      <c r="D34" s="185">
        <v>25.33</v>
      </c>
      <c r="E34" s="186">
        <f>D34*0.3048</f>
        <v>7.7205839999999997</v>
      </c>
      <c r="F34" s="102"/>
      <c r="G34" s="137"/>
      <c r="H34" s="126"/>
      <c r="I34" s="110"/>
      <c r="J34" s="85"/>
    </row>
    <row r="35" spans="1:10" ht="15">
      <c r="A35" s="139" t="s">
        <v>165</v>
      </c>
      <c r="B35" s="136">
        <f>E35</f>
        <v>0</v>
      </c>
      <c r="C35" s="131"/>
      <c r="D35" s="185">
        <v>0</v>
      </c>
      <c r="E35" s="186">
        <f>D35*0.3048</f>
        <v>0</v>
      </c>
      <c r="F35" s="102"/>
      <c r="G35" s="137"/>
      <c r="H35" s="126"/>
      <c r="I35" s="110"/>
      <c r="J35" s="85"/>
    </row>
    <row r="36" spans="1:10" ht="15">
      <c r="A36" s="81" t="s">
        <v>166</v>
      </c>
      <c r="B36" s="136">
        <f>E36</f>
        <v>11.9634</v>
      </c>
      <c r="C36" s="131"/>
      <c r="D36" s="185">
        <v>39.25</v>
      </c>
      <c r="E36" s="186">
        <f>D36*0.3048</f>
        <v>11.9634</v>
      </c>
      <c r="F36" s="102"/>
      <c r="G36" s="137"/>
      <c r="H36" s="126"/>
      <c r="I36" s="110"/>
      <c r="J36" s="85"/>
    </row>
    <row r="37" spans="1:10" ht="15">
      <c r="A37" s="139" t="s">
        <v>167</v>
      </c>
      <c r="B37" s="136">
        <f>E37</f>
        <v>8.7934800000000006</v>
      </c>
      <c r="C37" s="131"/>
      <c r="D37" s="185">
        <v>28.85</v>
      </c>
      <c r="E37" s="186">
        <f>D37*0.3048</f>
        <v>8.7934800000000006</v>
      </c>
      <c r="G37" s="121"/>
      <c r="H37" s="126"/>
      <c r="I37" s="110"/>
      <c r="J37" s="85"/>
    </row>
    <row r="38" spans="1:10">
      <c r="A38" s="120"/>
      <c r="B38" s="120"/>
      <c r="C38" s="92"/>
      <c r="D38" s="89"/>
      <c r="E38" s="133"/>
      <c r="F38" s="182" t="s">
        <v>134</v>
      </c>
      <c r="G38" s="178" t="s">
        <v>135</v>
      </c>
      <c r="H38" s="110"/>
      <c r="I38" s="110"/>
      <c r="J38" s="85"/>
    </row>
    <row r="39" spans="1:10">
      <c r="A39" s="120"/>
      <c r="B39" s="120"/>
      <c r="C39" s="92"/>
      <c r="D39" s="91" t="s">
        <v>138</v>
      </c>
      <c r="E39" s="93" t="s">
        <v>139</v>
      </c>
      <c r="F39" s="190">
        <v>1270</v>
      </c>
      <c r="G39" s="94">
        <f>0.09290304*F39</f>
        <v>117.9868608</v>
      </c>
      <c r="H39" s="110"/>
      <c r="I39" s="110"/>
      <c r="J39" s="85"/>
    </row>
    <row r="40" spans="1:10">
      <c r="A40" s="74" t="s">
        <v>168</v>
      </c>
      <c r="B40" s="121">
        <f>(B41+B42)*(B43+4*B44)/12</f>
        <v>117.96460278000001</v>
      </c>
      <c r="C40" s="92" t="s">
        <v>169</v>
      </c>
      <c r="D40" s="121">
        <f>(D41+D42)*(D43+4*D44)/12</f>
        <v>1269.7604166666667</v>
      </c>
      <c r="E40" s="121">
        <f>(E41+E42)*(E43+4*E44)/12</f>
        <v>117.96460278000001</v>
      </c>
      <c r="H40" s="140"/>
      <c r="I40" s="130"/>
      <c r="J40" s="85"/>
    </row>
    <row r="41" spans="1:10" ht="15">
      <c r="A41" s="81" t="s">
        <v>170</v>
      </c>
      <c r="B41" s="128">
        <f>E41</f>
        <v>15.773400000000001</v>
      </c>
      <c r="C41" s="92" t="s">
        <v>171</v>
      </c>
      <c r="D41" s="148">
        <v>51.75</v>
      </c>
      <c r="E41" s="148">
        <f>D41*0.3048</f>
        <v>15.773400000000001</v>
      </c>
      <c r="F41" s="275"/>
      <c r="G41" s="277"/>
      <c r="H41" s="126"/>
      <c r="I41" s="141"/>
      <c r="J41" s="85"/>
    </row>
    <row r="42" spans="1:10" ht="15">
      <c r="A42" s="81" t="s">
        <v>172</v>
      </c>
      <c r="B42" s="128">
        <f>E42</f>
        <v>14.325600000000001</v>
      </c>
      <c r="C42" s="92" t="s">
        <v>173</v>
      </c>
      <c r="D42" s="148">
        <v>47</v>
      </c>
      <c r="E42" s="148">
        <f>D42*0.3048</f>
        <v>14.325600000000001</v>
      </c>
      <c r="F42" s="272"/>
      <c r="G42" s="273"/>
      <c r="H42" s="126"/>
      <c r="I42" s="110"/>
      <c r="J42" s="85"/>
    </row>
    <row r="43" spans="1:10" ht="15">
      <c r="A43" s="81" t="s">
        <v>174</v>
      </c>
      <c r="B43" s="128">
        <f>E43</f>
        <v>10.210800000000001</v>
      </c>
      <c r="C43" s="92" t="s">
        <v>175</v>
      </c>
      <c r="D43" s="148">
        <v>33.5</v>
      </c>
      <c r="E43" s="148">
        <f>D43*0.3048</f>
        <v>10.210800000000001</v>
      </c>
      <c r="F43" s="142"/>
      <c r="G43" s="142"/>
      <c r="H43" s="126"/>
      <c r="I43" s="110"/>
      <c r="J43" s="85"/>
    </row>
    <row r="44" spans="1:10" ht="15">
      <c r="A44" s="81" t="s">
        <v>176</v>
      </c>
      <c r="B44" s="128">
        <f>E44</f>
        <v>9.2049599999999998</v>
      </c>
      <c r="C44" s="92" t="s">
        <v>177</v>
      </c>
      <c r="D44" s="148">
        <v>30.2</v>
      </c>
      <c r="E44" s="148">
        <f>D44*0.3048</f>
        <v>9.2049599999999998</v>
      </c>
      <c r="F44" s="143">
        <f>E44/E43</f>
        <v>0.90149253731343271</v>
      </c>
      <c r="G44" s="142"/>
      <c r="H44" s="126"/>
      <c r="I44" s="130"/>
      <c r="J44" s="85"/>
    </row>
    <row r="45" spans="1:10">
      <c r="A45" s="81" t="s">
        <v>178</v>
      </c>
      <c r="B45" s="128">
        <f>(B41+B42)*0.25*B43+(B44-(0.5*B43))*(B41+B42)/3</f>
        <v>117.96460278000001</v>
      </c>
      <c r="C45" s="144" t="s">
        <v>179</v>
      </c>
      <c r="D45" s="128">
        <f>(D41+D42)*0.25*D43+(D44-(0.5*D43))*(D41+D42)/3</f>
        <v>1269.7604166666667</v>
      </c>
      <c r="E45" s="128">
        <f>(E41+E42)*0.25*E43+(E44-(0.5*E43))*(E41+E42)/3</f>
        <v>117.96460278000001</v>
      </c>
      <c r="G45" s="142"/>
      <c r="H45" s="110"/>
      <c r="I45" s="145"/>
      <c r="J45" s="85"/>
    </row>
    <row r="46" spans="1:10" s="120" customFormat="1" ht="8.25">
      <c r="E46" s="146"/>
      <c r="F46" s="147"/>
      <c r="H46" s="146"/>
    </row>
    <row r="47" spans="1:10">
      <c r="F47" s="134"/>
      <c r="G47" s="94"/>
    </row>
  </sheetData>
  <mergeCells count="12">
    <mergeCell ref="F42:G42"/>
    <mergeCell ref="F12:G12"/>
    <mergeCell ref="F13:G13"/>
    <mergeCell ref="F14:G14"/>
    <mergeCell ref="F18:G18"/>
    <mergeCell ref="F41:G41"/>
    <mergeCell ref="D7:G7"/>
    <mergeCell ref="A1:C1"/>
    <mergeCell ref="A2:C2"/>
    <mergeCell ref="D1:G1"/>
    <mergeCell ref="D2:G2"/>
    <mergeCell ref="A5:G5"/>
  </mergeCells>
  <phoneticPr fontId="7" type="noConversion"/>
  <printOptions horizontalCentered="1" verticalCentered="1"/>
  <pageMargins left="0.31496062992125984" right="0.31496062992125984" top="0.51181102362204722" bottom="0.53149606299212604" header="0.27559055118110237" footer="0.27559055118110237"/>
  <pageSetup scale="75" fitToHeight="2" orientation="portrait" horizontalDpi="4294967293" r:id="rId1"/>
  <headerFooter alignWithMargins="0">
    <oddHeader>&amp;R&amp;"Arial,Bold"&amp;12&amp;A</oddHeader>
    <oddFooter>&amp;L&amp;"Arial,Bold"&amp;8workbook:&amp;"Arial,Regular" &amp;F
&amp;"Arial,Bold"worksheet:&amp;"Arial,Regular" &amp;A&amp;R&amp;8BAMA slackwater_sf
page &amp;P of &amp;N</oddFooter>
  </headerFooter>
  <rowBreaks count="1" manualBreakCount="1">
    <brk id="4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zoomScale="90" zoomScaleNormal="90" workbookViewId="0">
      <selection activeCell="A14" sqref="A14"/>
    </sheetView>
  </sheetViews>
  <sheetFormatPr defaultRowHeight="12.75"/>
  <cols>
    <col min="1" max="1" width="21.140625" style="155" customWidth="1"/>
    <col min="2" max="2" width="43.85546875" style="155" bestFit="1" customWidth="1"/>
    <col min="3" max="3" width="6.28515625" style="155" customWidth="1"/>
    <col min="4" max="16384" width="9.140625" style="155"/>
  </cols>
  <sheetData>
    <row r="1" spans="1:8" ht="15.75">
      <c r="A1" s="280" t="s">
        <v>187</v>
      </c>
      <c r="B1" s="281"/>
    </row>
    <row r="2" spans="1:8" ht="15.75">
      <c r="A2" s="282" t="s">
        <v>188</v>
      </c>
      <c r="B2" s="281"/>
      <c r="H2" s="156"/>
    </row>
    <row r="3" spans="1:8">
      <c r="A3" s="283" t="s">
        <v>189</v>
      </c>
      <c r="B3" s="284"/>
    </row>
    <row r="4" spans="1:8">
      <c r="E4" s="156"/>
    </row>
    <row r="5" spans="1:8" ht="15.75">
      <c r="A5" s="278" t="s">
        <v>239</v>
      </c>
      <c r="B5" s="285"/>
      <c r="C5" s="285"/>
      <c r="D5" s="157" t="s">
        <v>139</v>
      </c>
      <c r="E5" s="157" t="s">
        <v>240</v>
      </c>
    </row>
    <row r="6" spans="1:8">
      <c r="A6" s="158">
        <f>D6*D7/2</f>
        <v>25.083820799999998</v>
      </c>
      <c r="B6" s="159" t="s">
        <v>190</v>
      </c>
      <c r="C6" s="160" t="s">
        <v>191</v>
      </c>
      <c r="D6" s="158">
        <f t="shared" ref="D6:D12" si="0">0.3048*E6</f>
        <v>12.192</v>
      </c>
      <c r="E6" s="121">
        <v>40</v>
      </c>
    </row>
    <row r="7" spans="1:8">
      <c r="A7" s="158">
        <f>(2/3)*D8*D9</f>
        <v>0.76386944000000012</v>
      </c>
      <c r="B7" s="161" t="s">
        <v>192</v>
      </c>
      <c r="C7" s="155" t="s">
        <v>193</v>
      </c>
      <c r="D7" s="158">
        <f t="shared" si="0"/>
        <v>4.1147999999999998</v>
      </c>
      <c r="E7" s="121">
        <v>13.5</v>
      </c>
    </row>
    <row r="8" spans="1:8">
      <c r="A8" s="158">
        <f>(2/3)*D10*D11</f>
        <v>1.1509546240000046</v>
      </c>
      <c r="B8" s="162" t="s">
        <v>194</v>
      </c>
      <c r="C8" s="163" t="s">
        <v>195</v>
      </c>
      <c r="D8" s="158">
        <f t="shared" si="0"/>
        <v>4.5110400000000004</v>
      </c>
      <c r="E8" s="121">
        <v>14.8</v>
      </c>
    </row>
    <row r="9" spans="1:8">
      <c r="A9" s="158">
        <f>(2/3)*D6*D12</f>
        <v>-0.14864486399999999</v>
      </c>
      <c r="B9" s="164" t="s">
        <v>196</v>
      </c>
      <c r="C9" s="163" t="s">
        <v>197</v>
      </c>
      <c r="D9" s="158">
        <f t="shared" si="0"/>
        <v>0.254</v>
      </c>
      <c r="E9" s="187">
        <f>10/12</f>
        <v>0.83333333333333337</v>
      </c>
    </row>
    <row r="10" spans="1:8" ht="15.75">
      <c r="A10" s="165">
        <f>SUM(A6:A9)</f>
        <v>26.85</v>
      </c>
      <c r="B10" s="166" t="s">
        <v>198</v>
      </c>
      <c r="C10" s="167" t="s">
        <v>11</v>
      </c>
      <c r="D10" s="158">
        <f t="shared" si="0"/>
        <v>11.094720000000001</v>
      </c>
      <c r="E10" s="158">
        <v>36.4</v>
      </c>
    </row>
    <row r="11" spans="1:8">
      <c r="B11" s="191" t="s">
        <v>242</v>
      </c>
      <c r="C11" s="167" t="s">
        <v>199</v>
      </c>
      <c r="D11" s="158">
        <f t="shared" si="0"/>
        <v>0.15560842779268039</v>
      </c>
      <c r="E11" s="187">
        <v>0.51052633790249469</v>
      </c>
    </row>
    <row r="12" spans="1:8">
      <c r="A12" s="168">
        <f>(A10/A6)-1</f>
        <v>7.0411091439466889E-2</v>
      </c>
      <c r="B12" s="159" t="s">
        <v>200</v>
      </c>
      <c r="C12" s="160" t="s">
        <v>201</v>
      </c>
      <c r="D12" s="158">
        <f t="shared" si="0"/>
        <v>-1.8287999999999999E-2</v>
      </c>
      <c r="E12" s="188">
        <v>-0.06</v>
      </c>
    </row>
    <row r="13" spans="1:8">
      <c r="A13" s="169"/>
      <c r="B13" s="170"/>
      <c r="D13" s="158"/>
    </row>
    <row r="14" spans="1:8">
      <c r="A14" s="158">
        <f>10.76391*A10</f>
        <v>289.01098350000001</v>
      </c>
      <c r="B14" s="170" t="s">
        <v>202</v>
      </c>
      <c r="D14" s="171"/>
    </row>
    <row r="16" spans="1:8" ht="15.75">
      <c r="A16" s="278" t="s">
        <v>238</v>
      </c>
      <c r="B16" s="279"/>
      <c r="D16" s="157" t="s">
        <v>139</v>
      </c>
      <c r="E16" s="157" t="s">
        <v>240</v>
      </c>
    </row>
    <row r="17" spans="1:5" ht="15.75">
      <c r="A17" s="165">
        <f>D19*(D17+D18)/4+(D20-D19/2)*(2/3)*(D17+D18)/2</f>
        <v>117.96460278000001</v>
      </c>
      <c r="B17" s="173" t="s">
        <v>203</v>
      </c>
      <c r="C17" s="167" t="s">
        <v>204</v>
      </c>
      <c r="D17" s="158">
        <v>15.773400000000001</v>
      </c>
    </row>
    <row r="18" spans="1:5">
      <c r="C18" s="160" t="s">
        <v>205</v>
      </c>
      <c r="D18" s="158">
        <v>14.325600000000001</v>
      </c>
    </row>
    <row r="19" spans="1:5">
      <c r="B19" s="174" t="s">
        <v>206</v>
      </c>
      <c r="C19" s="163" t="s">
        <v>207</v>
      </c>
      <c r="D19" s="158">
        <v>10.210800000000001</v>
      </c>
    </row>
    <row r="20" spans="1:5">
      <c r="C20" s="155" t="s">
        <v>29</v>
      </c>
      <c r="D20" s="158">
        <v>9.2049599999999998</v>
      </c>
    </row>
    <row r="22" spans="1:5">
      <c r="B22" s="157" t="s">
        <v>208</v>
      </c>
      <c r="D22" s="168">
        <f>D20/D19</f>
        <v>0.90149253731343271</v>
      </c>
    </row>
    <row r="25" spans="1:5">
      <c r="E25" s="156"/>
    </row>
    <row r="32" spans="1:5">
      <c r="B32" s="175"/>
    </row>
    <row r="44" spans="1:4" ht="15.75">
      <c r="A44" s="278" t="s">
        <v>209</v>
      </c>
      <c r="B44" s="279"/>
    </row>
    <row r="45" spans="1:4">
      <c r="D45" s="157" t="s">
        <v>139</v>
      </c>
    </row>
    <row r="46" spans="1:4">
      <c r="A46" s="171">
        <f>((D46+D47)*(D48-D49)+(D49*D46))/2</f>
        <v>77.369681174999997</v>
      </c>
      <c r="B46" s="159" t="s">
        <v>210</v>
      </c>
      <c r="C46" s="155" t="s">
        <v>193</v>
      </c>
      <c r="D46" s="158">
        <v>7.2501699999999998</v>
      </c>
    </row>
    <row r="47" spans="1:4">
      <c r="A47" s="171">
        <f>D50*D51/2</f>
        <v>2.5645799999999999</v>
      </c>
      <c r="B47" s="159" t="s">
        <v>211</v>
      </c>
      <c r="C47" s="155" t="s">
        <v>212</v>
      </c>
      <c r="D47" s="158">
        <v>0.13500000000000001</v>
      </c>
    </row>
    <row r="48" spans="1:4">
      <c r="A48" s="171">
        <f>(2/3)*D52*D53</f>
        <v>1.9878932546666664E-3</v>
      </c>
      <c r="B48" s="159" t="s">
        <v>213</v>
      </c>
      <c r="C48" s="155" t="s">
        <v>191</v>
      </c>
      <c r="D48" s="158">
        <v>20.954999999999998</v>
      </c>
    </row>
    <row r="49" spans="1:4">
      <c r="A49" s="171">
        <f>D54*D55/2</f>
        <v>6.6780233477999997E-3</v>
      </c>
      <c r="B49" s="159" t="s">
        <v>214</v>
      </c>
      <c r="C49" s="155" t="s">
        <v>215</v>
      </c>
      <c r="D49" s="158">
        <v>0.125</v>
      </c>
    </row>
    <row r="50" spans="1:4">
      <c r="A50" s="171">
        <f>(2/3)*D56*D57</f>
        <v>7.8232222399999998E-4</v>
      </c>
      <c r="B50" s="159" t="s">
        <v>216</v>
      </c>
      <c r="C50" s="155" t="s">
        <v>11</v>
      </c>
      <c r="D50" s="158">
        <v>20.516639999999999</v>
      </c>
    </row>
    <row r="51" spans="1:4">
      <c r="A51" s="171">
        <f>(2/3)*D58*D59</f>
        <v>1.5604989899999997E-3</v>
      </c>
      <c r="B51" s="159" t="s">
        <v>217</v>
      </c>
      <c r="C51" s="155" t="s">
        <v>218</v>
      </c>
      <c r="D51" s="158">
        <v>0.25</v>
      </c>
    </row>
    <row r="52" spans="1:4">
      <c r="A52" s="171">
        <f>(2/3)*D48*D61</f>
        <v>1.2572999999999999</v>
      </c>
      <c r="B52" s="159" t="s">
        <v>219</v>
      </c>
      <c r="C52" s="155" t="s">
        <v>220</v>
      </c>
      <c r="D52" s="158">
        <v>0.102578</v>
      </c>
    </row>
    <row r="53" spans="1:4">
      <c r="A53" s="171">
        <f>(2/3)*D60*D62</f>
        <v>1.4669699999999999E-3</v>
      </c>
      <c r="B53" s="159" t="s">
        <v>221</v>
      </c>
      <c r="C53" s="155" t="s">
        <v>222</v>
      </c>
      <c r="D53" s="158">
        <v>2.9069000000000001E-2</v>
      </c>
    </row>
    <row r="54" spans="1:4" ht="15.75">
      <c r="A54" s="172">
        <f>SUM(A46:A53)</f>
        <v>81.204036882816467</v>
      </c>
      <c r="B54" s="159" t="s">
        <v>223</v>
      </c>
      <c r="C54" s="155" t="s">
        <v>224</v>
      </c>
      <c r="D54" s="158">
        <v>0.1094166</v>
      </c>
    </row>
    <row r="55" spans="1:4">
      <c r="C55" s="155" t="s">
        <v>225</v>
      </c>
      <c r="D55" s="158">
        <v>0.12206599999999999</v>
      </c>
    </row>
    <row r="56" spans="1:4">
      <c r="B56" s="170" t="s">
        <v>226</v>
      </c>
      <c r="C56" s="155" t="s">
        <v>227</v>
      </c>
      <c r="D56" s="158">
        <v>5.6920999999999999E-2</v>
      </c>
    </row>
    <row r="57" spans="1:4">
      <c r="B57" s="173" t="s">
        <v>228</v>
      </c>
      <c r="C57" s="155" t="s">
        <v>229</v>
      </c>
      <c r="D57" s="158">
        <v>2.0615999999999999E-2</v>
      </c>
    </row>
    <row r="58" spans="1:4">
      <c r="B58" s="173" t="s">
        <v>230</v>
      </c>
      <c r="C58" s="155" t="s">
        <v>231</v>
      </c>
      <c r="D58" s="158">
        <v>5.5172499999999999E-2</v>
      </c>
    </row>
    <row r="59" spans="1:4">
      <c r="B59" s="173" t="s">
        <v>232</v>
      </c>
      <c r="C59" s="155" t="s">
        <v>233</v>
      </c>
      <c r="D59" s="158">
        <v>4.2425999999999998E-2</v>
      </c>
    </row>
    <row r="60" spans="1:4">
      <c r="B60" s="173" t="s">
        <v>234</v>
      </c>
      <c r="C60" s="155" t="s">
        <v>195</v>
      </c>
      <c r="D60" s="158">
        <v>7.3348499999999997E-2</v>
      </c>
    </row>
    <row r="61" spans="1:4">
      <c r="C61" s="155" t="s">
        <v>235</v>
      </c>
      <c r="D61" s="158">
        <v>0.09</v>
      </c>
    </row>
    <row r="62" spans="1:4">
      <c r="C62" s="155" t="s">
        <v>236</v>
      </c>
      <c r="D62" s="158">
        <v>0.03</v>
      </c>
    </row>
  </sheetData>
  <mergeCells count="6">
    <mergeCell ref="A44:B44"/>
    <mergeCell ref="A1:B1"/>
    <mergeCell ref="A2:B2"/>
    <mergeCell ref="A3:B3"/>
    <mergeCell ref="A5:C5"/>
    <mergeCell ref="A16:B16"/>
  </mergeCells>
  <phoneticPr fontId="7" type="noConversion"/>
  <printOptions horizontalCentered="1" verticalCentered="1"/>
  <pageMargins left="0.39370078740157483" right="0.39370078740157483" top="0.27559055118110237" bottom="0.35433070866141736" header="0.23622047244094491" footer="0.27559055118110237"/>
  <pageSetup scale="79" fitToHeight="4" orientation="portrait" horizontalDpi="4294967293" verticalDpi="0" r:id="rId1"/>
  <headerFooter alignWithMargins="0">
    <oddFooter>&amp;L&amp;"Arial,Bold"&amp;8workbook:&amp;"Arial,Regular" &amp;F
&amp;"Arial,Bold"worksheet:&amp;"Arial,Regular" &amp;A&amp;R&amp;8BAMA
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zoomScaleNormal="100" workbookViewId="0">
      <selection sqref="A1:C1"/>
    </sheetView>
  </sheetViews>
  <sheetFormatPr defaultRowHeight="12.75"/>
  <cols>
    <col min="2" max="2" width="11.85546875" bestFit="1" customWidth="1"/>
    <col min="3" max="3" width="7.42578125" customWidth="1"/>
    <col min="7" max="7" width="8" customWidth="1"/>
    <col min="8" max="8" width="7.5703125" customWidth="1"/>
  </cols>
  <sheetData>
    <row r="1" spans="1:8" ht="15.75">
      <c r="A1" s="269" t="s">
        <v>261</v>
      </c>
      <c r="B1" s="249"/>
      <c r="C1" s="249"/>
    </row>
    <row r="2" spans="1:8">
      <c r="A2" s="210" t="s">
        <v>136</v>
      </c>
      <c r="B2" s="8"/>
      <c r="C2" s="8"/>
      <c r="D2" s="8"/>
      <c r="E2" s="8"/>
      <c r="F2" s="8"/>
    </row>
    <row r="3" spans="1:8">
      <c r="A3" s="211">
        <v>40724</v>
      </c>
      <c r="B3" s="8"/>
      <c r="C3" s="226" t="s">
        <v>61</v>
      </c>
      <c r="D3" s="212">
        <v>622</v>
      </c>
      <c r="E3" s="231">
        <f>D3*0.09290304</f>
        <v>57.785690880000004</v>
      </c>
      <c r="F3" s="214"/>
    </row>
    <row r="4" spans="1:8">
      <c r="A4" s="210"/>
      <c r="B4" s="8"/>
      <c r="C4" s="226" t="s">
        <v>264</v>
      </c>
      <c r="D4" s="215">
        <f>(D5*((D7+D6)/2))+(2/3*(D8*D12))</f>
        <v>622</v>
      </c>
      <c r="E4" s="213"/>
      <c r="F4" s="193" t="s">
        <v>247</v>
      </c>
    </row>
    <row r="5" spans="1:8">
      <c r="A5" s="8" t="s">
        <v>20</v>
      </c>
      <c r="B5" s="8"/>
      <c r="C5" s="8"/>
      <c r="D5" s="216">
        <v>47.4</v>
      </c>
      <c r="E5" s="186">
        <f>D5*0.3048</f>
        <v>14.447520000000001</v>
      </c>
      <c r="F5" s="214">
        <v>240</v>
      </c>
    </row>
    <row r="6" spans="1:8">
      <c r="A6" s="8" t="s">
        <v>21</v>
      </c>
      <c r="B6" s="8"/>
      <c r="C6" s="8"/>
      <c r="D6" s="216">
        <v>16</v>
      </c>
      <c r="E6" s="186">
        <f>D6*0.3048</f>
        <v>4.8768000000000002</v>
      </c>
      <c r="F6" s="214">
        <f>E6*F5/E5</f>
        <v>81.012658227848092</v>
      </c>
      <c r="G6" s="209" t="s">
        <v>262</v>
      </c>
    </row>
    <row r="7" spans="1:8">
      <c r="A7" s="8" t="s">
        <v>22</v>
      </c>
      <c r="B7" s="8"/>
      <c r="C7" s="8"/>
      <c r="D7" s="216">
        <v>5.5</v>
      </c>
      <c r="E7" s="186">
        <f>D7*0.3048</f>
        <v>1.6764000000000001</v>
      </c>
      <c r="F7" s="214">
        <f>E7*F5/E5</f>
        <v>27.848101265822784</v>
      </c>
    </row>
    <row r="8" spans="1:8">
      <c r="A8" s="34" t="s">
        <v>266</v>
      </c>
      <c r="B8" s="8"/>
      <c r="C8" s="8"/>
      <c r="D8" s="216">
        <v>49.25</v>
      </c>
      <c r="E8" s="186">
        <f>D8*0.3048</f>
        <v>15.0114</v>
      </c>
      <c r="F8" s="214">
        <f>E8*F5/E5</f>
        <v>249.36708860759492</v>
      </c>
      <c r="G8" s="227">
        <v>-71.060199999999995</v>
      </c>
      <c r="H8" s="227">
        <f>G8+90</f>
        <v>18.939800000000005</v>
      </c>
    </row>
    <row r="9" spans="1:8">
      <c r="A9" s="218" t="s">
        <v>257</v>
      </c>
      <c r="B9" s="8"/>
      <c r="C9" s="8"/>
      <c r="D9" s="219">
        <f>3.28084*E9</f>
        <v>15.384875242315994</v>
      </c>
      <c r="E9" s="203">
        <f>F9*E5/F5</f>
        <v>4.6893098238000004</v>
      </c>
      <c r="F9" s="8">
        <v>77.898099999999999</v>
      </c>
      <c r="G9" s="204" t="s">
        <v>263</v>
      </c>
    </row>
    <row r="10" spans="1:8">
      <c r="A10" s="218" t="s">
        <v>258</v>
      </c>
      <c r="B10" s="8"/>
      <c r="C10" s="8"/>
      <c r="D10" s="8"/>
      <c r="E10" s="8"/>
      <c r="F10" s="8">
        <f>F8/2</f>
        <v>124.68354430379746</v>
      </c>
    </row>
    <row r="11" spans="1:8">
      <c r="A11" s="119" t="s">
        <v>267</v>
      </c>
      <c r="B11" s="8"/>
      <c r="C11" s="8"/>
      <c r="D11" s="216">
        <f>3.28084*E11</f>
        <v>47.749082777970607</v>
      </c>
      <c r="E11" s="230">
        <f>F11*E5/F5</f>
        <v>14.553919965000002</v>
      </c>
      <c r="F11" s="8">
        <v>241.76750000000001</v>
      </c>
    </row>
    <row r="12" spans="1:8">
      <c r="A12" s="221" t="s">
        <v>265</v>
      </c>
      <c r="B12" s="8"/>
      <c r="C12" s="220" t="s">
        <v>264</v>
      </c>
      <c r="D12" s="217">
        <v>3.4248730964467002</v>
      </c>
      <c r="E12" s="207">
        <f>D12*0.3048</f>
        <v>1.0439013197969542</v>
      </c>
      <c r="F12" s="214">
        <f>E12*F5/E5</f>
        <v>17.34112960226177</v>
      </c>
      <c r="G12" s="227">
        <v>-77.314999999999998</v>
      </c>
      <c r="H12" s="227">
        <f>G12+90</f>
        <v>12.685000000000002</v>
      </c>
    </row>
    <row r="14" spans="1:8" ht="15">
      <c r="A14" s="208" t="s">
        <v>255</v>
      </c>
    </row>
    <row r="15" spans="1:8" ht="15">
      <c r="A15" s="208" t="s">
        <v>244</v>
      </c>
      <c r="C15" s="226" t="s">
        <v>61</v>
      </c>
      <c r="D15" s="228">
        <v>289</v>
      </c>
      <c r="E15" s="213">
        <f>D15*0.09290304</f>
        <v>26.848978560000003</v>
      </c>
    </row>
    <row r="16" spans="1:8">
      <c r="A16" s="74"/>
      <c r="C16" s="226" t="s">
        <v>264</v>
      </c>
      <c r="D16" s="229">
        <f>(D19*D20/2)+(2/3*D19*D26)+(2/3*D24*D25)+(2/3*D22*D23)</f>
        <v>288.85432490091677</v>
      </c>
      <c r="E16" s="121"/>
    </row>
    <row r="17" spans="1:8">
      <c r="A17" s="74"/>
      <c r="B17" s="193" t="s">
        <v>256</v>
      </c>
    </row>
    <row r="18" spans="1:8">
      <c r="A18" s="192">
        <v>40724</v>
      </c>
      <c r="B18" s="193" t="s">
        <v>138</v>
      </c>
      <c r="C18" s="193" t="s">
        <v>139</v>
      </c>
      <c r="D18" s="193" t="s">
        <v>181</v>
      </c>
      <c r="E18" s="193" t="s">
        <v>139</v>
      </c>
      <c r="F18" s="193" t="s">
        <v>247</v>
      </c>
    </row>
    <row r="19" spans="1:8" ht="15">
      <c r="A19" s="194" t="s">
        <v>248</v>
      </c>
      <c r="D19" s="121">
        <v>40</v>
      </c>
      <c r="E19" s="186">
        <f>D19*0.3048</f>
        <v>12.192</v>
      </c>
      <c r="F19" s="195">
        <v>260</v>
      </c>
      <c r="G19" s="227">
        <v>-110.4042</v>
      </c>
      <c r="H19" s="4">
        <f>G19+90</f>
        <v>-20.404200000000003</v>
      </c>
    </row>
    <row r="20" spans="1:8">
      <c r="A20" t="s">
        <v>19</v>
      </c>
      <c r="D20" s="121">
        <v>13.5</v>
      </c>
      <c r="E20" s="186">
        <f>D20*0.3048</f>
        <v>4.1147999999999998</v>
      </c>
      <c r="F20" s="195">
        <f>E20*F19/E19</f>
        <v>87.75</v>
      </c>
    </row>
    <row r="21" spans="1:8">
      <c r="A21" t="s">
        <v>103</v>
      </c>
      <c r="D21" s="121"/>
      <c r="E21" s="186"/>
      <c r="F21" s="195"/>
    </row>
    <row r="22" spans="1:8">
      <c r="A22" s="196" t="s">
        <v>249</v>
      </c>
      <c r="B22" s="202">
        <v>28.8</v>
      </c>
      <c r="C22" s="186">
        <f>B22*0.3048</f>
        <v>8.7782400000000003</v>
      </c>
      <c r="D22" s="205">
        <f>3.28084*E22</f>
        <v>14.797446627364431</v>
      </c>
      <c r="E22" s="206">
        <f>F22*E19/F19</f>
        <v>4.510261587692308</v>
      </c>
      <c r="F22">
        <v>96.183400000000006</v>
      </c>
      <c r="G22" s="204" t="s">
        <v>259</v>
      </c>
    </row>
    <row r="23" spans="1:8">
      <c r="A23" s="198" t="s">
        <v>250</v>
      </c>
      <c r="D23" s="121">
        <f>10/12</f>
        <v>0.83333333333333337</v>
      </c>
      <c r="E23" s="197">
        <f>F23*E19/F19</f>
        <v>0.25281987692307689</v>
      </c>
      <c r="F23">
        <v>5.3914999999999997</v>
      </c>
      <c r="G23" s="204" t="s">
        <v>260</v>
      </c>
    </row>
    <row r="24" spans="1:8">
      <c r="A24" s="199" t="s">
        <v>251</v>
      </c>
      <c r="D24" s="121">
        <v>36.4</v>
      </c>
      <c r="E24" s="186">
        <f>D24*0.3048</f>
        <v>11.094720000000001</v>
      </c>
      <c r="F24" s="195">
        <f>E24*F19/E19</f>
        <v>236.60000000000002</v>
      </c>
    </row>
    <row r="25" spans="1:8">
      <c r="A25" s="200" t="s">
        <v>252</v>
      </c>
      <c r="D25" s="121">
        <v>0.5</v>
      </c>
      <c r="E25" s="197">
        <v>0.16</v>
      </c>
      <c r="F25">
        <v>12.9072</v>
      </c>
    </row>
    <row r="26" spans="1:8" ht="15">
      <c r="A26" s="194" t="s">
        <v>253</v>
      </c>
      <c r="B26" s="201"/>
      <c r="D26" s="121">
        <f>3.280839*E26</f>
        <v>-5.6242954285714276E-2</v>
      </c>
      <c r="E26" s="197">
        <v>-1.714285714285714E-2</v>
      </c>
      <c r="F26">
        <f>-1*E26*F19/E19</f>
        <v>0.36557930258717652</v>
      </c>
    </row>
    <row r="28" spans="1:8">
      <c r="A28" s="74" t="s">
        <v>243</v>
      </c>
    </row>
    <row r="29" spans="1:8">
      <c r="A29" s="74" t="s">
        <v>244</v>
      </c>
    </row>
    <row r="30" spans="1:8">
      <c r="A30" s="192">
        <v>40651</v>
      </c>
      <c r="B30" s="192" t="s">
        <v>245</v>
      </c>
      <c r="C30" s="193" t="s">
        <v>246</v>
      </c>
      <c r="D30" s="193" t="s">
        <v>240</v>
      </c>
      <c r="E30" s="193" t="s">
        <v>139</v>
      </c>
      <c r="F30" s="193" t="s">
        <v>247</v>
      </c>
    </row>
    <row r="31" spans="1:8" ht="15">
      <c r="A31" s="194" t="s">
        <v>248</v>
      </c>
      <c r="C31">
        <v>411.6</v>
      </c>
      <c r="D31" s="121">
        <f>C31/12</f>
        <v>34.300000000000004</v>
      </c>
      <c r="E31" s="186">
        <f>D31*0.3048</f>
        <v>10.454640000000001</v>
      </c>
      <c r="F31" s="195">
        <v>260</v>
      </c>
      <c r="G31" s="227">
        <v>-110.4042</v>
      </c>
      <c r="H31" s="227">
        <f>G31+90</f>
        <v>-20.404200000000003</v>
      </c>
    </row>
    <row r="32" spans="1:8">
      <c r="A32" t="s">
        <v>19</v>
      </c>
      <c r="C32">
        <v>144</v>
      </c>
      <c r="D32" s="121">
        <f>C32/12</f>
        <v>12</v>
      </c>
      <c r="E32" s="186">
        <f>D32*0.3048</f>
        <v>3.6576000000000004</v>
      </c>
      <c r="F32" s="195">
        <f>E32*F31/E31</f>
        <v>90.962099125364432</v>
      </c>
    </row>
    <row r="33" spans="1:6">
      <c r="A33" t="s">
        <v>103</v>
      </c>
      <c r="C33">
        <v>90</v>
      </c>
      <c r="D33" s="121">
        <f>C33/12</f>
        <v>7.5</v>
      </c>
      <c r="E33" s="186">
        <f>D33*0.3048</f>
        <v>2.286</v>
      </c>
      <c r="F33" s="195">
        <f>E33*F31/E31</f>
        <v>56.851311953352763</v>
      </c>
    </row>
    <row r="34" spans="1:6">
      <c r="A34" s="196" t="s">
        <v>249</v>
      </c>
      <c r="D34" s="121">
        <f>3.280839*E34</f>
        <v>13.602347289278649</v>
      </c>
      <c r="E34" s="197">
        <f>F34*E31/F31</f>
        <v>4.1459965848000007</v>
      </c>
      <c r="F34">
        <v>103.1082</v>
      </c>
    </row>
    <row r="35" spans="1:6">
      <c r="A35" s="198" t="s">
        <v>250</v>
      </c>
      <c r="D35" s="121">
        <f>3.280839*E35</f>
        <v>0.71126307519814935</v>
      </c>
      <c r="E35" s="197">
        <f>F35*E31/F31</f>
        <v>0.21679304446153846</v>
      </c>
      <c r="F35">
        <v>5.3914999999999997</v>
      </c>
    </row>
    <row r="36" spans="1:6">
      <c r="A36" s="199" t="s">
        <v>251</v>
      </c>
      <c r="D36" s="121">
        <f>3.280839*E36</f>
        <v>30.253462439160888</v>
      </c>
      <c r="E36" s="197">
        <f>F36*E31/F31</f>
        <v>9.2212578670153853</v>
      </c>
      <c r="F36">
        <v>229.32660000000001</v>
      </c>
    </row>
    <row r="37" spans="1:6">
      <c r="A37" s="200" t="s">
        <v>252</v>
      </c>
      <c r="D37" s="121">
        <f>3.280839*E37</f>
        <v>1.7027570739492821</v>
      </c>
      <c r="E37" s="197">
        <f>F37*E31/F31</f>
        <v>0.51900049772307699</v>
      </c>
      <c r="F37">
        <v>12.9072</v>
      </c>
    </row>
    <row r="38" spans="1:6" ht="15">
      <c r="A38" s="194" t="s">
        <v>253</v>
      </c>
      <c r="B38" s="201" t="s">
        <v>254</v>
      </c>
      <c r="D38" s="121">
        <f>3.280839*E38</f>
        <v>-5.6242954285714276E-2</v>
      </c>
      <c r="E38" s="197">
        <v>-1.714285714285714E-2</v>
      </c>
      <c r="F38">
        <f>-1*E38*F31/E31</f>
        <v>0.42633154820661984</v>
      </c>
    </row>
  </sheetData>
  <mergeCells count="1">
    <mergeCell ref="A1:C1"/>
  </mergeCells>
  <phoneticPr fontId="7" type="noConversion"/>
  <printOptions horizontalCentered="1"/>
  <pageMargins left="0.35433070866141736" right="0.35433070866141736" top="0.78740157480314965" bottom="0.78740157480314965" header="0.31496062992125984" footer="0.51181102362204722"/>
  <pageSetup scale="74" orientation="portrait" verticalDpi="0" r:id="rId1"/>
  <headerFooter alignWithMargins="0">
    <oddFooter>&amp;L&amp;"Arial,Bold"&amp;8workbook: &amp;"Arial,Regular"&amp;F&amp;"Arial,Bold"
worksheet: &amp;"Arial,Regular"&amp;A&amp;RPage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Application</vt:lpstr>
      <vt:lpstr>Sail-Areas_US-Sailing</vt:lpstr>
      <vt:lpstr>ISAF_Sail-Areas</vt:lpstr>
      <vt:lpstr>C-37CR_Main-Jib_Spec.Chk_063011</vt:lpstr>
      <vt:lpstr>'C-37CR_Main-Jib_Spec.Chk_063011'!Print_Area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slackwater_sf</dc:creator>
  <cp:lastModifiedBy>s</cp:lastModifiedBy>
  <cp:lastPrinted>2011-07-01T01:33:17Z</cp:lastPrinted>
  <dcterms:created xsi:type="dcterms:W3CDTF">2010-09-30T21:48:04Z</dcterms:created>
  <dcterms:modified xsi:type="dcterms:W3CDTF">2011-07-01T06:37:50Z</dcterms:modified>
</cp:coreProperties>
</file>